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65521" yWindow="45" windowWidth="12255" windowHeight="8505" activeTab="7"/>
  </bookViews>
  <sheets>
    <sheet name="Установка" sheetId="1" r:id="rId1"/>
    <sheet name="Общий список" sheetId="2" r:id="rId2"/>
    <sheet name="Регистрация ОТ" sheetId="3" r:id="rId3"/>
    <sheet name="Лист регистрации ОТ" sheetId="4" r:id="rId4"/>
    <sheet name="Лист ожидания" sheetId="5" r:id="rId5"/>
    <sheet name="Лист регистрации ОЖ" sheetId="6" r:id="rId6"/>
    <sheet name="ПодгОТ" sheetId="7" r:id="rId7"/>
    <sheet name="ОТ" sheetId="8" r:id="rId8"/>
    <sheet name="ПодгДТ" sheetId="9" r:id="rId9"/>
    <sheet name="ДТ" sheetId="10" r:id="rId10"/>
    <sheet name="Алфавитный список" sheetId="11" r:id="rId11"/>
    <sheet name="Неявки" sheetId="12" r:id="rId1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0" hidden="1">'Алфавитный список'!#REF!</definedName>
    <definedName name="Z_431ADE6F_9C87_431C_B4A0_B27D4A052270_.wvu.Rows" localSheetId="10" hidden="1">'Алфавитный список'!#REF!</definedName>
    <definedName name="Z_431ADE6F_9C87_431C_B4A0_B27D4A052270_.wvu.Rows" localSheetId="7" hidden="1">'ОТ'!#REF!</definedName>
    <definedName name="Z_BAECDCB9_3EEB_4217_B35B_1C8089F9B5BB_.wvu.Cols" localSheetId="10" hidden="1">'Алфавитный список'!#REF!</definedName>
    <definedName name="Z_BAECDCB9_3EEB_4217_B35B_1C8089F9B5BB_.wvu.Rows" localSheetId="10" hidden="1">'Алфавитный список'!#REF!</definedName>
    <definedName name="Z_BAECDCB9_3EEB_4217_B35B_1C8089F9B5BB_.wvu.Rows" localSheetId="9" hidden="1">'ДТ'!$1:$2</definedName>
    <definedName name="Z_BAECDCB9_3EEB_4217_B35B_1C8089F9B5BB_.wvu.Rows" localSheetId="7" hidden="1">'ОТ'!#REF!</definedName>
    <definedName name="Z_F809504A_1B3D_4948_A071_6AE5F7F97D89_.wvu.Cols" localSheetId="10" hidden="1">'Алфавитный список'!#REF!</definedName>
    <definedName name="Z_F809504A_1B3D_4948_A071_6AE5F7F97D89_.wvu.Rows" localSheetId="10" hidden="1">'Алфавитный список'!#REF!</definedName>
    <definedName name="Z_F809504A_1B3D_4948_A071_6AE5F7F97D89_.wvu.Rows" localSheetId="9" hidden="1">'ДТ'!$1:$2</definedName>
    <definedName name="Z_F809504A_1B3D_4948_A071_6AE5F7F97D89_.wvu.Rows" localSheetId="7" hidden="1">'ОТ'!#REF!</definedName>
    <definedName name="_xlnm.Print_Titles" localSheetId="10">'Алфавитный список'!$10:$11</definedName>
    <definedName name="_xlnm.Print_Titles" localSheetId="5">'Лист регистрации ОЖ'!$1:$11</definedName>
    <definedName name="_xlnm.Print_Titles" localSheetId="3">'Лист регистрации ОТ'!$1:$11</definedName>
    <definedName name="_xlnm.Print_Area" localSheetId="9">'ДТ'!$A$1:$S$108</definedName>
    <definedName name="_xlnm.Print_Area" localSheetId="1">'Общий список'!$A$1:$J$107</definedName>
    <definedName name="_xlnm.Print_Area" localSheetId="7">'ОТ'!$A$1:$X$53</definedName>
    <definedName name="_xlnm.Print_Area" localSheetId="2">'Регистрация ОТ'!$A$1:$L$28</definedName>
  </definedNames>
  <calcPr calcMode="manual" fullCalcOnLoad="1"/>
</workbook>
</file>

<file path=xl/sharedStrings.xml><?xml version="1.0" encoding="utf-8"?>
<sst xmlns="http://schemas.openxmlformats.org/spreadsheetml/2006/main" count="394" uniqueCount="196">
  <si>
    <t>Сроки проведения</t>
  </si>
  <si>
    <t>в возрастной группе</t>
  </si>
  <si>
    <t>Главный судья</t>
  </si>
  <si>
    <t>(название турнира)</t>
  </si>
  <si>
    <t>Место проведения</t>
  </si>
  <si>
    <t>Фамилия И.О. игрока</t>
  </si>
  <si>
    <t xml:space="preserve"> </t>
  </si>
  <si>
    <t>Главный секретарь</t>
  </si>
  <si>
    <t xml:space="preserve">в возрастной группе </t>
  </si>
  <si>
    <t>ОДИНОЧНЫЙ РАЗРЯД</t>
  </si>
  <si>
    <t>Статус игрока</t>
  </si>
  <si>
    <t>№ строк</t>
  </si>
  <si>
    <t>1/4</t>
  </si>
  <si>
    <t>1/2</t>
  </si>
  <si>
    <t>Финал</t>
  </si>
  <si>
    <t>финала</t>
  </si>
  <si>
    <t>№</t>
  </si>
  <si>
    <t>СЕЯНЫЕ ИГРОКИ</t>
  </si>
  <si>
    <t>Классиф. очки РТТ</t>
  </si>
  <si>
    <t>Гл. судья</t>
  </si>
  <si>
    <t>Гл.секретарь</t>
  </si>
  <si>
    <t>1-я секция</t>
  </si>
  <si>
    <t>2-я секция</t>
  </si>
  <si>
    <t>3-я секция</t>
  </si>
  <si>
    <t>ТАБЛИЦА</t>
  </si>
  <si>
    <t>Город (страна)</t>
  </si>
  <si>
    <t>3 место</t>
  </si>
  <si>
    <t>Город</t>
  </si>
  <si>
    <t>Категория, класс</t>
  </si>
  <si>
    <t>Форма 15</t>
  </si>
  <si>
    <t xml:space="preserve">АЛФАВИТНЫЙ СПИСОК ИГРОКОВ ЛИЧНОГО ТУРНИРА РТТ </t>
  </si>
  <si>
    <t>в возрастной группе:</t>
  </si>
  <si>
    <t>Место проведения:</t>
  </si>
  <si>
    <t>Сроки проведения:</t>
  </si>
  <si>
    <t>Дата рождения (день, месяц, год)</t>
  </si>
  <si>
    <t>Рег.№  игрока РТТ</t>
  </si>
  <si>
    <t>Классифи-кационные очки РТТ на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</si>
  <si>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</si>
  <si>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</si>
  <si>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</si>
  <si>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</si>
  <si>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Подпись</t>
  </si>
  <si>
    <t>Фамилия И.О.</t>
  </si>
  <si>
    <t>Фамилия, И.О. игрока</t>
  </si>
  <si>
    <t>Статус</t>
  </si>
  <si>
    <t>Дата рожд.</t>
  </si>
  <si>
    <t>Классифи-кационные очки РТТ</t>
  </si>
  <si>
    <t>Название турнира</t>
  </si>
  <si>
    <t>Возрастная группа</t>
  </si>
  <si>
    <t>Дата классификации</t>
  </si>
  <si>
    <t>название турнира</t>
  </si>
  <si>
    <t>время</t>
  </si>
  <si>
    <t>Фамилия</t>
  </si>
  <si>
    <t>Запись закрыта</t>
  </si>
  <si>
    <t xml:space="preserve">ОБЩИЙ СПИСОК ИГРОКОВ ТУРНИРА РТТ </t>
  </si>
  <si>
    <t>Поздняя заявка (если имеется, указать дату)</t>
  </si>
  <si>
    <t>Свободная карта в ОТ (если имеется, указать СК)</t>
  </si>
  <si>
    <t>Свободная карта в ОЭ (если имеется, указать СК)</t>
  </si>
  <si>
    <t>Признак поздней заявки</t>
  </si>
  <si>
    <t>СК-основа</t>
  </si>
  <si>
    <t>СК-квал</t>
  </si>
  <si>
    <t>Классиф.очки РТТ</t>
  </si>
  <si>
    <t>Рег. номер</t>
  </si>
  <si>
    <t>И.О.</t>
  </si>
  <si>
    <t>Статусы</t>
  </si>
  <si>
    <t>№ п/п</t>
  </si>
  <si>
    <t>Дата отказа от турнира или неявки на турнир</t>
  </si>
  <si>
    <t>Примечание</t>
  </si>
  <si>
    <t>Название турнира:</t>
  </si>
  <si>
    <t>Категория:</t>
  </si>
  <si>
    <t>Пол игроков:</t>
  </si>
  <si>
    <t>DeadLine:</t>
  </si>
  <si>
    <t>Классификация на:</t>
  </si>
  <si>
    <t>Рейтинг</t>
  </si>
  <si>
    <t>ФИО игрока</t>
  </si>
  <si>
    <t>Дата рождения</t>
  </si>
  <si>
    <t>Оплата</t>
  </si>
  <si>
    <t>Лист ожидания</t>
  </si>
  <si>
    <t>DeadLine</t>
  </si>
  <si>
    <t>Поздняя заявка (дата)</t>
  </si>
  <si>
    <t>Отметка о регистрации (х)</t>
  </si>
  <si>
    <t>Свободные карты</t>
  </si>
  <si>
    <t xml:space="preserve">НЕЯВКА ИГРОКА НА ТУРНИР РТТ. </t>
  </si>
  <si>
    <t>Рег.№</t>
  </si>
  <si>
    <r>
      <t xml:space="preserve">РАНЖИРОВАННЫЙ СПИСОК ИГРОКОВ </t>
    </r>
    <r>
      <rPr>
        <b/>
        <sz val="10"/>
        <color indexed="17"/>
        <rFont val="Arial Cyr"/>
        <family val="0"/>
      </rPr>
      <t xml:space="preserve">ОСНОВНОГО ТУРНИРА </t>
    </r>
    <r>
      <rPr>
        <b/>
        <sz val="10"/>
        <rFont val="Arial Cyr"/>
        <family val="2"/>
      </rPr>
      <t xml:space="preserve">РТТ </t>
    </r>
  </si>
  <si>
    <t>СК1</t>
  </si>
  <si>
    <t>СК2</t>
  </si>
  <si>
    <t>СК3</t>
  </si>
  <si>
    <t>Количество игроков в основной части ОТ</t>
  </si>
  <si>
    <t>Удалить игрока</t>
  </si>
  <si>
    <t>Дать СК в основу</t>
  </si>
  <si>
    <t>Дать СК в квал</t>
  </si>
  <si>
    <t>Фамилия, имя, отчество игрока</t>
  </si>
  <si>
    <t>9-10 лет</t>
  </si>
  <si>
    <t>Взрослые</t>
  </si>
  <si>
    <t>Ветераны</t>
  </si>
  <si>
    <t>Юноши/Мужчины</t>
  </si>
  <si>
    <t>Девушки/Женщины</t>
  </si>
  <si>
    <t>МТ</t>
  </si>
  <si>
    <t>ФТ</t>
  </si>
  <si>
    <t>I</t>
  </si>
  <si>
    <t>II</t>
  </si>
  <si>
    <t>III</t>
  </si>
  <si>
    <t>IV</t>
  </si>
  <si>
    <t>V</t>
  </si>
  <si>
    <t>VI</t>
  </si>
  <si>
    <t>А</t>
  </si>
  <si>
    <t>Б</t>
  </si>
  <si>
    <t>В</t>
  </si>
  <si>
    <t>Г</t>
  </si>
  <si>
    <t>10</t>
  </si>
  <si>
    <t>12</t>
  </si>
  <si>
    <t>14</t>
  </si>
  <si>
    <t>16</t>
  </si>
  <si>
    <t>18</t>
  </si>
  <si>
    <t>Пол игроков</t>
  </si>
  <si>
    <t>признак проведения жеребьевки основы</t>
  </si>
  <si>
    <t>признак проведения жеребьевки пар</t>
  </si>
  <si>
    <t>признак проведения одной из жеребьевок</t>
  </si>
  <si>
    <t>Рейтинг для расстановки игроков в таблице</t>
  </si>
  <si>
    <t>Количество свободных карт в ОТ</t>
  </si>
  <si>
    <t>Всего игроков в ОТ</t>
  </si>
  <si>
    <t>ПРОИГРАВШИЕ В 1/16 ФИНАЛА</t>
  </si>
  <si>
    <t>ПРОИГРАВШИЕ В 1/8 ФИНАЛА</t>
  </si>
  <si>
    <t>ПРОИГРАВШИЕ В 1/4 ФИНАЛА</t>
  </si>
  <si>
    <t>Проигравшие в 1-ом круге</t>
  </si>
  <si>
    <t>Проигравшие во 2-ом круге</t>
  </si>
  <si>
    <t>Победители 3-го круга</t>
  </si>
  <si>
    <t>Победители 2-го круга</t>
  </si>
  <si>
    <t>Победители 1-го круга</t>
  </si>
  <si>
    <t>Проигравшие во 3-ем круге</t>
  </si>
  <si>
    <t>ВЫСОТА ЯЧЕЕК</t>
  </si>
  <si>
    <t>КОЛИЧЕСТВО ЯЧЕЕК</t>
  </si>
  <si>
    <t>ВЫСОТА ОДНОЙ ЯЧЕЙКИ</t>
  </si>
  <si>
    <r>
      <t xml:space="preserve">Лист регистрации участников </t>
    </r>
    <r>
      <rPr>
        <b/>
        <i/>
        <sz val="12"/>
        <color indexed="17"/>
        <rFont val="Arial"/>
        <family val="2"/>
      </rPr>
      <t xml:space="preserve">основного турнира </t>
    </r>
    <r>
      <rPr>
        <b/>
        <i/>
        <sz val="12"/>
        <rFont val="Arial"/>
        <family val="2"/>
      </rPr>
      <t>личного турнира РТТ</t>
    </r>
  </si>
  <si>
    <t>ЛИСТ РЕГИСТРАЦИИ УЧАСТНИКОВ</t>
  </si>
  <si>
    <t>ОСНОВНОГО ЛИЧНОГО ТУРНИРА РТТ</t>
  </si>
  <si>
    <t>Класс:</t>
  </si>
  <si>
    <t>Фамилия, Имя, Отчество</t>
  </si>
  <si>
    <t>Оплата взноса в РТТ</t>
  </si>
  <si>
    <t>Статус игрока в турнире</t>
  </si>
  <si>
    <t>Контактный телефон на время турнира</t>
  </si>
  <si>
    <t>Вступительный взнос (руб,)</t>
  </si>
  <si>
    <t>Подпись игрока</t>
  </si>
  <si>
    <t>Регистрация окончена</t>
  </si>
  <si>
    <t>подпись</t>
  </si>
  <si>
    <t>Взнос в ОТ</t>
  </si>
  <si>
    <t>Гл.судья</t>
  </si>
  <si>
    <t>ЛИСТ ЗАПИСИ ИГРОКОВ НА УЧАСТИЕ В ДОПОЛНИТЕЛЬНЫХ ТУРНИРАХ</t>
  </si>
  <si>
    <t xml:space="preserve">                   ДОПОЛНИТЕЛЬНОГО ЛИЧНОГО ТУРНИРА РТТ</t>
  </si>
  <si>
    <t xml:space="preserve"> финала</t>
  </si>
  <si>
    <t>Для проигравших в 1/16 финала</t>
  </si>
  <si>
    <t>ТАБЛИЦА ОСНОВНОГО ЛИЧНОГО ТУРНИРА РТТ на 16 участников</t>
  </si>
  <si>
    <t>Формат таблицы</t>
  </si>
  <si>
    <t>Количество ПОЭ</t>
  </si>
  <si>
    <t>проигравшие в 1/16 - без жеребьевки</t>
  </si>
  <si>
    <t>проигравшие в 1/8 - без жеребьевки</t>
  </si>
  <si>
    <t>проигравшие в 1/4 - без жеребьевки</t>
  </si>
  <si>
    <t>ЛИСТ РЕГИСТРАЦИИ ОЖИДАЮЩИХ ИГРОКОВ</t>
  </si>
  <si>
    <t>ЛИЧНОГО ТУРНИРА РТТ</t>
  </si>
  <si>
    <t xml:space="preserve">проводимого по олимпийской системе </t>
  </si>
  <si>
    <t>ТВД-Летнее первенство г.Казани</t>
  </si>
  <si>
    <t>г.Казань</t>
  </si>
  <si>
    <t>06.06-08.06.2014</t>
  </si>
  <si>
    <t>Горшенин Э.А.</t>
  </si>
  <si>
    <t>Сурченко А.А.</t>
  </si>
  <si>
    <t>Шакирова Дана Эмилевна</t>
  </si>
  <si>
    <t>Самитова Зухра Марсовна</t>
  </si>
  <si>
    <t>Мифтахова Арина Рамзисовна</t>
  </si>
  <si>
    <t>Кузнецова Анастасия Александровна</t>
  </si>
  <si>
    <t>Матвеева Елизавета Андреевна</t>
  </si>
  <si>
    <t>Сунгатуллина Элина Эльфатовна</t>
  </si>
  <si>
    <t>Макарова Алиса Александровна</t>
  </si>
  <si>
    <t>Евсеева Диана Денисовна</t>
  </si>
  <si>
    <t>Шимарина Лада Сергеевна</t>
  </si>
  <si>
    <t>Нигмедзянова Диана Ильдаровна</t>
  </si>
  <si>
    <t>Максимова Ольга Сергеевна</t>
  </si>
  <si>
    <t>Казань</t>
  </si>
  <si>
    <t>Елабуга</t>
  </si>
  <si>
    <t>Сургут</t>
  </si>
  <si>
    <t>Димитровград</t>
  </si>
  <si>
    <t>х</t>
  </si>
  <si>
    <t>ОТ</t>
  </si>
  <si>
    <t>62 62</t>
  </si>
  <si>
    <t xml:space="preserve">Кузнецова Анастасия Александровна                   </t>
  </si>
  <si>
    <t xml:space="preserve">Шакирова Дана Эмилевна              </t>
  </si>
  <si>
    <t>63 62</t>
  </si>
  <si>
    <t>76(5) 46 10 4</t>
  </si>
  <si>
    <t>62 63</t>
  </si>
  <si>
    <t>Отк. по бол.</t>
  </si>
  <si>
    <t>63 61</t>
  </si>
  <si>
    <t>26 75 10 4</t>
  </si>
  <si>
    <t>62 64</t>
  </si>
  <si>
    <t>61 61</t>
  </si>
  <si>
    <t>63 63</t>
  </si>
  <si>
    <t>76(6) 46 10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</si>
</sst>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0.0000"/>
    <numFmt numFmtId="170" formatCode="0.0"/>
    <numFmt numFmtId="171" formatCode="[$-FC19]d\ mmmm\ yyyy\ &quot;г.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7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10"/>
      <color indexed="8"/>
      <name val="ARIAL"/>
      <family val="0"/>
    </font>
    <font>
      <vertAlign val="superscript"/>
      <sz val="8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color indexed="9"/>
      <name val="Arial Cyr"/>
      <family val="0"/>
    </font>
    <font>
      <b/>
      <sz val="7"/>
      <color indexed="10"/>
      <name val="Arial Cyr"/>
      <family val="0"/>
    </font>
    <font>
      <sz val="10"/>
      <color indexed="42"/>
      <name val="Arial Cyr"/>
      <family val="2"/>
    </font>
    <font>
      <sz val="8"/>
      <name val="Tahoma"/>
      <family val="2"/>
    </font>
    <font>
      <b/>
      <i/>
      <sz val="8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57"/>
      <name val="Arial Cyr"/>
      <family val="0"/>
    </font>
    <font>
      <b/>
      <sz val="10"/>
      <color indexed="17"/>
      <name val="Arial Cyr"/>
      <family val="0"/>
    </font>
    <font>
      <sz val="8"/>
      <color indexed="17"/>
      <name val="Arial Cyr"/>
      <family val="2"/>
    </font>
    <font>
      <sz val="10"/>
      <color indexed="17"/>
      <name val="Arial Cyr"/>
      <family val="2"/>
    </font>
    <font>
      <b/>
      <i/>
      <sz val="12"/>
      <color indexed="17"/>
      <name val="Arial"/>
      <family val="2"/>
    </font>
    <font>
      <b/>
      <sz val="8"/>
      <color indexed="17"/>
      <name val="Arial Cyr"/>
      <family val="0"/>
    </font>
    <font>
      <b/>
      <sz val="9"/>
      <color indexed="18"/>
      <name val="ARIAL"/>
      <family val="0"/>
    </font>
    <font>
      <sz val="9"/>
      <color indexed="18"/>
      <name val="ARIAL"/>
      <family val="0"/>
    </font>
    <font>
      <sz val="2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23"/>
      <name val="Arial Cyr"/>
      <family val="0"/>
    </font>
    <font>
      <b/>
      <i/>
      <sz val="12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2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51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777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Border="1" applyAlignment="1">
      <alignment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left" shrinkToFit="1"/>
      <protection/>
    </xf>
    <xf numFmtId="0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vertical="top" shrinkToFit="1"/>
    </xf>
    <xf numFmtId="0" fontId="0" fillId="0" borderId="0" xfId="0" applyNumberFormat="1" applyFont="1" applyBorder="1" applyAlignment="1" applyProtection="1">
      <alignment vertical="top" shrinkToFit="1"/>
      <protection/>
    </xf>
    <xf numFmtId="0" fontId="0" fillId="0" borderId="14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14" xfId="0" applyNumberFormat="1" applyFont="1" applyBorder="1" applyAlignment="1">
      <alignment shrinkToFit="1"/>
    </xf>
    <xf numFmtId="0" fontId="0" fillId="0" borderId="0" xfId="0" applyNumberFormat="1" applyAlignment="1">
      <alignment vertical="center" shrinkToFit="1"/>
    </xf>
    <xf numFmtId="0" fontId="0" fillId="0" borderId="14" xfId="0" applyNumberFormat="1" applyBorder="1" applyAlignment="1">
      <alignment horizontal="center" shrinkToFit="1"/>
    </xf>
    <xf numFmtId="0" fontId="0" fillId="0" borderId="0" xfId="0" applyNumberFormat="1" applyBorder="1" applyAlignment="1">
      <alignment vertical="center" shrinkToFit="1"/>
    </xf>
    <xf numFmtId="0" fontId="3" fillId="0" borderId="0" xfId="0" applyNumberFormat="1" applyFont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/>
    </xf>
    <xf numFmtId="0" fontId="21" fillId="4" borderId="14" xfId="0" applyNumberFormat="1" applyFont="1" applyFill="1" applyBorder="1" applyAlignment="1" applyProtection="1">
      <alignment horizontal="center" shrinkToFit="1"/>
      <protection locked="0"/>
    </xf>
    <xf numFmtId="0" fontId="21" fillId="4" borderId="14" xfId="0" applyNumberFormat="1" applyFont="1" applyFill="1" applyBorder="1" applyAlignment="1" applyProtection="1">
      <alignment shrinkToFit="1"/>
      <protection locked="0"/>
    </xf>
    <xf numFmtId="0" fontId="21" fillId="4" borderId="0" xfId="0" applyNumberFormat="1" applyFont="1" applyFill="1" applyBorder="1" applyAlignment="1" applyProtection="1">
      <alignment horizontal="left" shrinkToFit="1"/>
      <protection locked="0"/>
    </xf>
    <xf numFmtId="0" fontId="21" fillId="4" borderId="15" xfId="0" applyNumberFormat="1" applyFont="1" applyFill="1" applyBorder="1" applyAlignment="1" applyProtection="1">
      <alignment vertical="top" shrinkToFit="1"/>
      <protection locked="0"/>
    </xf>
    <xf numFmtId="0" fontId="21" fillId="4" borderId="14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ont="1" applyBorder="1" applyAlignment="1" applyProtection="1">
      <alignment shrinkToFit="1"/>
      <protection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4" fillId="0" borderId="0" xfId="54" applyFont="1" applyAlignment="1">
      <alignment horizontal="left" vertical="top"/>
      <protection/>
    </xf>
    <xf numFmtId="0" fontId="15" fillId="0" borderId="0" xfId="54">
      <alignment vertical="top"/>
      <protection/>
    </xf>
    <xf numFmtId="0" fontId="25" fillId="0" borderId="0" xfId="54" applyFont="1" applyAlignment="1">
      <alignment horizontal="left" vertical="top"/>
      <protection/>
    </xf>
    <xf numFmtId="0" fontId="26" fillId="0" borderId="0" xfId="54" applyFont="1" applyAlignment="1">
      <alignment horizontal="left" vertical="top"/>
      <protection/>
    </xf>
    <xf numFmtId="14" fontId="26" fillId="0" borderId="0" xfId="54" applyNumberFormat="1" applyFont="1" applyAlignment="1">
      <alignment horizontal="left" vertical="top"/>
      <protection/>
    </xf>
    <xf numFmtId="0" fontId="15" fillId="0" borderId="0" xfId="54" applyFill="1">
      <alignment vertical="top"/>
      <protection/>
    </xf>
    <xf numFmtId="0" fontId="15" fillId="0" borderId="0" xfId="54" applyAlignment="1">
      <alignment horizontal="center" vertical="top" readingOrder="1"/>
      <protection/>
    </xf>
    <xf numFmtId="0" fontId="15" fillId="0" borderId="0" xfId="54" applyAlignment="1">
      <alignment horizontal="center" vertical="top"/>
      <protection/>
    </xf>
    <xf numFmtId="0" fontId="15" fillId="0" borderId="0" xfId="54" applyAlignment="1">
      <alignment vertical="center" wrapText="1"/>
      <protection/>
    </xf>
    <xf numFmtId="0" fontId="24" fillId="0" borderId="0" xfId="54" applyFont="1" applyAlignment="1">
      <alignment horizontal="center" vertical="top"/>
      <protection/>
    </xf>
    <xf numFmtId="0" fontId="25" fillId="0" borderId="0" xfId="54" applyFont="1" applyAlignment="1">
      <alignment horizontal="center" vertical="top"/>
      <protection/>
    </xf>
    <xf numFmtId="0" fontId="26" fillId="0" borderId="0" xfId="54" applyFont="1" applyAlignment="1">
      <alignment horizontal="center" vertical="top"/>
      <protection/>
    </xf>
    <xf numFmtId="0" fontId="15" fillId="0" borderId="0" xfId="54" applyBorder="1">
      <alignment vertical="top"/>
      <protection/>
    </xf>
    <xf numFmtId="14" fontId="15" fillId="0" borderId="0" xfId="54" applyNumberFormat="1" applyBorder="1">
      <alignment vertical="top"/>
      <protection/>
    </xf>
    <xf numFmtId="0" fontId="15" fillId="0" borderId="0" xfId="54" applyBorder="1" applyAlignment="1">
      <alignment horizontal="center" vertical="top"/>
      <protection/>
    </xf>
    <xf numFmtId="0" fontId="28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15" fillId="0" borderId="0" xfId="54" applyAlignment="1">
      <alignment horizontal="center" vertical="top" shrinkToFit="1" readingOrder="1"/>
      <protection/>
    </xf>
    <xf numFmtId="0" fontId="28" fillId="0" borderId="16" xfId="54" applyFont="1" applyFill="1" applyBorder="1" applyAlignment="1">
      <alignment horizontal="center" vertical="center" shrinkToFit="1" readingOrder="1"/>
      <protection/>
    </xf>
    <xf numFmtId="0" fontId="28" fillId="0" borderId="16" xfId="54" applyFont="1" applyFill="1" applyBorder="1" applyAlignment="1">
      <alignment horizontal="center" vertical="center" readingOrder="1"/>
      <protection/>
    </xf>
    <xf numFmtId="0" fontId="15" fillId="0" borderId="0" xfId="54" applyFill="1" applyBorder="1" applyAlignment="1">
      <alignment horizontal="center" vertical="top" shrinkToFit="1" readingOrder="1"/>
      <protection/>
    </xf>
    <xf numFmtId="0" fontId="15" fillId="0" borderId="0" xfId="54" applyFont="1" applyFill="1" applyBorder="1" applyAlignment="1">
      <alignment horizontal="center" vertical="top" readingOrder="1"/>
      <protection/>
    </xf>
    <xf numFmtId="0" fontId="15" fillId="0" borderId="0" xfId="54" applyFill="1" applyBorder="1">
      <alignment vertical="top"/>
      <protection/>
    </xf>
    <xf numFmtId="0" fontId="15" fillId="0" borderId="0" xfId="54" applyFill="1" applyBorder="1" applyAlignment="1">
      <alignment horizontal="center" vertical="top"/>
      <protection/>
    </xf>
    <xf numFmtId="0" fontId="28" fillId="0" borderId="17" xfId="54" applyFont="1" applyFill="1" applyBorder="1" applyAlignment="1">
      <alignment horizontal="center" vertical="center" shrinkToFit="1" readingOrder="1"/>
      <protection/>
    </xf>
    <xf numFmtId="0" fontId="28" fillId="0" borderId="17" xfId="54" applyFont="1" applyFill="1" applyBorder="1" applyAlignment="1">
      <alignment horizontal="center" vertical="center" readingOrder="1"/>
      <protection/>
    </xf>
    <xf numFmtId="0" fontId="15" fillId="24" borderId="0" xfId="54" applyFill="1" applyBorder="1" applyAlignment="1">
      <alignment horizontal="center" vertical="top"/>
      <protection/>
    </xf>
    <xf numFmtId="0" fontId="15" fillId="25" borderId="0" xfId="54" applyFill="1" applyBorder="1" applyAlignment="1">
      <alignment horizontal="center" vertical="top"/>
      <protection/>
    </xf>
    <xf numFmtId="0" fontId="0" fillId="0" borderId="0" xfId="0" applyBorder="1" applyAlignment="1">
      <alignment horizontal="center" vertical="center" textRotation="90"/>
    </xf>
    <xf numFmtId="0" fontId="28" fillId="0" borderId="16" xfId="54" applyFont="1" applyFill="1" applyBorder="1" applyAlignment="1" applyProtection="1">
      <alignment horizontal="left" vertical="center" shrinkToFit="1"/>
      <protection locked="0"/>
    </xf>
    <xf numFmtId="0" fontId="28" fillId="0" borderId="16" xfId="54" applyFont="1" applyFill="1" applyBorder="1" applyAlignment="1" applyProtection="1">
      <alignment horizontal="center" vertical="center" shrinkToFit="1"/>
      <protection locked="0"/>
    </xf>
    <xf numFmtId="14" fontId="28" fillId="0" borderId="16" xfId="54" applyNumberFormat="1" applyFont="1" applyFill="1" applyBorder="1" applyAlignment="1" applyProtection="1">
      <alignment horizontal="center" vertical="center" shrinkToFit="1"/>
      <protection locked="0"/>
    </xf>
    <xf numFmtId="0" fontId="28" fillId="0" borderId="16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left" vertical="center" shrinkToFit="1"/>
      <protection locked="0"/>
    </xf>
    <xf numFmtId="0" fontId="28" fillId="0" borderId="17" xfId="54" applyFont="1" applyFill="1" applyBorder="1" applyAlignment="1" applyProtection="1">
      <alignment horizontal="center" vertical="center" shrinkToFit="1"/>
      <protection locked="0"/>
    </xf>
    <xf numFmtId="14" fontId="28" fillId="0" borderId="17" xfId="54" applyNumberFormat="1" applyFont="1" applyFill="1" applyBorder="1" applyAlignment="1" applyProtection="1">
      <alignment horizontal="center" vertical="center" shrinkToFit="1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4" fontId="15" fillId="0" borderId="0" xfId="54" applyNumberFormat="1">
      <alignment vertical="top"/>
      <protection/>
    </xf>
    <xf numFmtId="14" fontId="15" fillId="0" borderId="0" xfId="54" applyNumberFormat="1" applyFill="1" applyBorder="1">
      <alignment vertical="top"/>
      <protection/>
    </xf>
    <xf numFmtId="14" fontId="24" fillId="0" borderId="0" xfId="54" applyNumberFormat="1" applyFont="1" applyAlignment="1">
      <alignment horizontal="left" vertical="top"/>
      <protection/>
    </xf>
    <xf numFmtId="14" fontId="25" fillId="0" borderId="0" xfId="54" applyNumberFormat="1" applyFont="1" applyAlignment="1">
      <alignment horizontal="left" vertical="top"/>
      <protection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21" borderId="0" xfId="0" applyFill="1" applyAlignment="1">
      <alignment horizontal="center"/>
    </xf>
    <xf numFmtId="0" fontId="0" fillId="21" borderId="0" xfId="0" applyNumberFormat="1" applyFill="1" applyAlignment="1">
      <alignment horizontal="center"/>
    </xf>
    <xf numFmtId="0" fontId="15" fillId="24" borderId="0" xfId="54" applyFill="1">
      <alignment vertical="top"/>
      <protection/>
    </xf>
    <xf numFmtId="0" fontId="15" fillId="24" borderId="0" xfId="54" applyFill="1" applyBorder="1">
      <alignment vertical="top"/>
      <protection/>
    </xf>
    <xf numFmtId="14" fontId="28" fillId="0" borderId="17" xfId="54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15" fillId="26" borderId="0" xfId="54" applyFill="1" applyBorder="1">
      <alignment vertical="top"/>
      <protection/>
    </xf>
    <xf numFmtId="0" fontId="15" fillId="26" borderId="0" xfId="54" applyFill="1">
      <alignment vertical="top"/>
      <protection/>
    </xf>
    <xf numFmtId="0" fontId="15" fillId="4" borderId="0" xfId="54" applyFill="1" applyBorder="1">
      <alignment vertical="top"/>
      <protection/>
    </xf>
    <xf numFmtId="0" fontId="15" fillId="4" borderId="0" xfId="54" applyFill="1">
      <alignment vertical="top"/>
      <protection/>
    </xf>
    <xf numFmtId="0" fontId="3" fillId="0" borderId="21" xfId="0" applyFont="1" applyBorder="1" applyAlignment="1">
      <alignment horizontal="center" vertical="center" wrapText="1"/>
    </xf>
    <xf numFmtId="0" fontId="0" fillId="20" borderId="0" xfId="0" applyFill="1" applyBorder="1" applyAlignment="1">
      <alignment vertical="center" wrapText="1"/>
    </xf>
    <xf numFmtId="0" fontId="0" fillId="20" borderId="0" xfId="0" applyFill="1" applyAlignment="1">
      <alignment vertical="center" wrapText="1"/>
    </xf>
    <xf numFmtId="14" fontId="7" fillId="20" borderId="0" xfId="0" applyNumberFormat="1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shrinkToFit="1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15" fillId="24" borderId="0" xfId="54" applyFill="1" applyBorder="1" applyAlignment="1" applyProtection="1">
      <alignment horizontal="center" vertical="top"/>
      <protection locked="0"/>
    </xf>
    <xf numFmtId="0" fontId="0" fillId="4" borderId="0" xfId="0" applyFont="1" applyFill="1" applyAlignment="1">
      <alignment shrinkToFit="1"/>
    </xf>
    <xf numFmtId="0" fontId="0" fillId="20" borderId="0" xfId="0" applyFill="1" applyAlignment="1">
      <alignment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 textRotation="90"/>
    </xf>
    <xf numFmtId="0" fontId="0" fillId="20" borderId="0" xfId="0" applyFont="1" applyFill="1" applyAlignment="1">
      <alignment shrinkToFit="1"/>
    </xf>
    <xf numFmtId="0" fontId="0" fillId="20" borderId="0" xfId="0" applyFont="1" applyFill="1" applyBorder="1" applyAlignment="1">
      <alignment horizontal="center" vertical="center" shrinkToFit="1"/>
    </xf>
    <xf numFmtId="0" fontId="0" fillId="20" borderId="0" xfId="0" applyFill="1" applyAlignment="1">
      <alignment shrinkToFit="1"/>
    </xf>
    <xf numFmtId="0" fontId="0" fillId="20" borderId="0" xfId="0" applyFill="1" applyBorder="1" applyAlignment="1">
      <alignment horizontal="center" vertical="center" shrinkToFit="1"/>
    </xf>
    <xf numFmtId="0" fontId="15" fillId="27" borderId="0" xfId="54" applyFill="1">
      <alignment vertical="top"/>
      <protection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14" fontId="0" fillId="0" borderId="13" xfId="0" applyNumberFormat="1" applyBorder="1" applyAlignment="1" applyProtection="1">
      <alignment horizontal="center" vertical="center" shrinkToFit="1"/>
      <protection locked="0"/>
    </xf>
    <xf numFmtId="14" fontId="0" fillId="0" borderId="13" xfId="0" applyNumberForma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8" fillId="20" borderId="17" xfId="54" applyFont="1" applyFill="1" applyBorder="1" applyAlignment="1">
      <alignment horizontal="center" vertical="center" shrinkToFit="1" readingOrder="1"/>
      <protection/>
    </xf>
    <xf numFmtId="0" fontId="15" fillId="24" borderId="10" xfId="54" applyFill="1" applyBorder="1" applyAlignment="1">
      <alignment horizontal="center" vertical="center"/>
      <protection/>
    </xf>
    <xf numFmtId="0" fontId="15" fillId="24" borderId="10" xfId="54" applyFill="1" applyBorder="1" applyAlignment="1">
      <alignment vertical="center"/>
      <protection/>
    </xf>
    <xf numFmtId="14" fontId="15" fillId="24" borderId="10" xfId="54" applyNumberFormat="1" applyFill="1" applyBorder="1" applyAlignment="1">
      <alignment vertical="center"/>
      <protection/>
    </xf>
    <xf numFmtId="0" fontId="28" fillId="0" borderId="0" xfId="54" applyFont="1" applyFill="1" applyBorder="1" applyAlignment="1" applyProtection="1">
      <alignment horizontal="center" vertical="center" shrinkToFit="1" readingOrder="1"/>
      <protection/>
    </xf>
    <xf numFmtId="0" fontId="28" fillId="0" borderId="0" xfId="54" applyFont="1" applyFill="1" applyBorder="1" applyAlignment="1" applyProtection="1">
      <alignment horizontal="center" vertical="center" readingOrder="1"/>
      <protection/>
    </xf>
    <xf numFmtId="0" fontId="29" fillId="0" borderId="0" xfId="54" applyFont="1" applyFill="1" applyBorder="1" applyAlignment="1" applyProtection="1">
      <alignment horizontal="center" vertical="center" shrinkToFit="1"/>
      <protection/>
    </xf>
    <xf numFmtId="0" fontId="28" fillId="0" borderId="0" xfId="54" applyFont="1" applyFill="1" applyBorder="1" applyAlignment="1" applyProtection="1">
      <alignment horizontal="left" vertical="center" shrinkToFit="1"/>
      <protection/>
    </xf>
    <xf numFmtId="0" fontId="28" fillId="0" borderId="0" xfId="54" applyFont="1" applyFill="1" applyBorder="1" applyAlignment="1" applyProtection="1">
      <alignment horizontal="center" vertical="center" shrinkToFit="1"/>
      <protection/>
    </xf>
    <xf numFmtId="14" fontId="28" fillId="0" borderId="0" xfId="54" applyNumberFormat="1" applyFont="1" applyFill="1" applyBorder="1" applyAlignment="1" applyProtection="1">
      <alignment horizontal="center" vertical="center" shrinkToFit="1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15" fillId="24" borderId="0" xfId="54" applyFill="1" applyAlignment="1" applyProtection="1">
      <alignment horizontal="center" vertical="top" shrinkToFit="1" readingOrder="1"/>
      <protection/>
    </xf>
    <xf numFmtId="0" fontId="15" fillId="24" borderId="0" xfId="54" applyFill="1" applyAlignment="1" applyProtection="1">
      <alignment horizontal="center" vertical="top" readingOrder="1"/>
      <protection/>
    </xf>
    <xf numFmtId="0" fontId="15" fillId="24" borderId="0" xfId="54" applyFill="1" applyProtection="1">
      <alignment vertical="top"/>
      <protection/>
    </xf>
    <xf numFmtId="0" fontId="15" fillId="24" borderId="0" xfId="54" applyFill="1" applyAlignment="1" applyProtection="1">
      <alignment horizontal="center" vertical="top"/>
      <protection/>
    </xf>
    <xf numFmtId="14" fontId="15" fillId="24" borderId="0" xfId="54" applyNumberFormat="1" applyFill="1" applyProtection="1">
      <alignment vertical="top"/>
      <protection/>
    </xf>
    <xf numFmtId="0" fontId="15" fillId="0" borderId="0" xfId="54" applyAlignment="1" applyProtection="1">
      <alignment horizontal="center" vertical="top" shrinkToFit="1" readingOrder="1"/>
      <protection/>
    </xf>
    <xf numFmtId="0" fontId="15" fillId="0" borderId="0" xfId="54" applyAlignment="1" applyProtection="1">
      <alignment horizontal="center" vertical="top" readingOrder="1"/>
      <protection/>
    </xf>
    <xf numFmtId="0" fontId="15" fillId="0" borderId="0" xfId="54" applyProtection="1">
      <alignment vertical="top"/>
      <protection/>
    </xf>
    <xf numFmtId="14" fontId="15" fillId="0" borderId="0" xfId="54" applyNumberFormat="1" applyProtection="1">
      <alignment vertical="top"/>
      <protection/>
    </xf>
    <xf numFmtId="0" fontId="15" fillId="0" borderId="0" xfId="54" applyAlignment="1" applyProtection="1">
      <alignment horizontal="center" vertical="top"/>
      <protection/>
    </xf>
    <xf numFmtId="0" fontId="15" fillId="28" borderId="0" xfId="54" applyFill="1" applyBorder="1" applyAlignment="1">
      <alignment horizontal="center" vertical="top"/>
      <protection/>
    </xf>
    <xf numFmtId="0" fontId="15" fillId="28" borderId="0" xfId="54" applyFont="1" applyFill="1" applyBorder="1" applyAlignment="1">
      <alignment horizontal="center" vertical="center" wrapText="1"/>
      <protection/>
    </xf>
    <xf numFmtId="0" fontId="17" fillId="21" borderId="17" xfId="0" applyFont="1" applyFill="1" applyBorder="1" applyAlignment="1">
      <alignment horizontal="center"/>
    </xf>
    <xf numFmtId="0" fontId="17" fillId="21" borderId="0" xfId="0" applyFont="1" applyFill="1" applyBorder="1" applyAlignment="1">
      <alignment horizontal="center"/>
    </xf>
    <xf numFmtId="0" fontId="15" fillId="0" borderId="0" xfId="54" applyBorder="1" applyAlignment="1">
      <alignment horizontal="center" vertical="center" shrinkToFit="1" readingOrder="1"/>
      <protection/>
    </xf>
    <xf numFmtId="0" fontId="15" fillId="0" borderId="0" xfId="54" applyBorder="1" applyAlignment="1">
      <alignment horizontal="center" vertical="center" readingOrder="1"/>
      <protection/>
    </xf>
    <xf numFmtId="0" fontId="15" fillId="0" borderId="0" xfId="54" applyBorder="1" applyAlignment="1">
      <alignment vertical="center"/>
      <protection/>
    </xf>
    <xf numFmtId="14" fontId="15" fillId="0" borderId="0" xfId="54" applyNumberFormat="1" applyBorder="1" applyAlignment="1">
      <alignment vertical="center"/>
      <protection/>
    </xf>
    <xf numFmtId="0" fontId="15" fillId="0" borderId="0" xfId="54" applyBorder="1" applyAlignment="1">
      <alignment horizontal="center" vertical="center"/>
      <protection/>
    </xf>
    <xf numFmtId="0" fontId="15" fillId="28" borderId="0" xfId="54" applyFill="1" applyBorder="1" applyAlignment="1" applyProtection="1">
      <alignment horizontal="center" vertical="center"/>
      <protection locked="0"/>
    </xf>
    <xf numFmtId="0" fontId="15" fillId="0" borderId="0" xfId="54" applyAlignment="1">
      <alignment vertical="center"/>
      <protection/>
    </xf>
    <xf numFmtId="0" fontId="15" fillId="28" borderId="0" xfId="54" applyFont="1" applyFill="1" applyBorder="1" applyAlignment="1">
      <alignment horizontal="center" vertical="center" shrinkToFit="1"/>
      <protection/>
    </xf>
    <xf numFmtId="0" fontId="0" fillId="21" borderId="0" xfId="0" applyFill="1" applyAlignment="1">
      <alignment/>
    </xf>
    <xf numFmtId="0" fontId="3" fillId="21" borderId="20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/>
    </xf>
    <xf numFmtId="0" fontId="3" fillId="21" borderId="0" xfId="0" applyFont="1" applyFill="1" applyAlignment="1">
      <alignment/>
    </xf>
    <xf numFmtId="0" fontId="0" fillId="21" borderId="20" xfId="0" applyFont="1" applyFill="1" applyBorder="1" applyAlignment="1">
      <alignment/>
    </xf>
    <xf numFmtId="0" fontId="0" fillId="21" borderId="13" xfId="0" applyFont="1" applyFill="1" applyBorder="1" applyAlignment="1">
      <alignment horizontal="center"/>
    </xf>
    <xf numFmtId="0" fontId="0" fillId="21" borderId="14" xfId="0" applyFont="1" applyFill="1" applyBorder="1" applyAlignment="1">
      <alignment/>
    </xf>
    <xf numFmtId="0" fontId="0" fillId="21" borderId="0" xfId="0" applyFont="1" applyFill="1" applyAlignment="1">
      <alignment shrinkToFit="1"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 horizontal="center"/>
    </xf>
    <xf numFmtId="0" fontId="0" fillId="21" borderId="0" xfId="0" applyFill="1" applyAlignment="1" applyProtection="1">
      <alignment/>
      <protection locked="0"/>
    </xf>
    <xf numFmtId="0" fontId="36" fillId="0" borderId="0" xfId="54" applyFont="1" applyAlignment="1">
      <alignment horizontal="left" vertical="top" shrinkToFit="1"/>
      <protection/>
    </xf>
    <xf numFmtId="0" fontId="37" fillId="0" borderId="0" xfId="54" applyFont="1" applyAlignment="1">
      <alignment horizontal="left" vertical="top" shrinkToFit="1"/>
      <protection/>
    </xf>
    <xf numFmtId="14" fontId="37" fillId="0" borderId="0" xfId="54" applyNumberFormat="1" applyFont="1" applyAlignment="1">
      <alignment horizontal="left" vertical="top" shrinkToFit="1"/>
      <protection/>
    </xf>
    <xf numFmtId="14" fontId="37" fillId="0" borderId="0" xfId="54" applyNumberFormat="1" applyFont="1" applyBorder="1" applyAlignment="1">
      <alignment horizontal="left" vertical="top" shrinkToFit="1"/>
      <protection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left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/>
      <protection locked="0"/>
    </xf>
    <xf numFmtId="14" fontId="15" fillId="0" borderId="13" xfId="54" applyNumberFormat="1" applyFont="1" applyFill="1" applyBorder="1" applyAlignment="1" applyProtection="1">
      <alignment horizontal="center" vertical="top"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8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14" xfId="0" applyNumberFormat="1" applyBorder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left" shrinkToFit="1"/>
      <protection/>
    </xf>
    <xf numFmtId="0" fontId="0" fillId="0" borderId="14" xfId="0" applyNumberFormat="1" applyBorder="1" applyAlignment="1" applyProtection="1">
      <alignment shrinkToFit="1"/>
      <protection/>
    </xf>
    <xf numFmtId="0" fontId="0" fillId="0" borderId="0" xfId="0" applyNumberFormat="1" applyBorder="1" applyAlignment="1" applyProtection="1">
      <alignment shrinkToFit="1"/>
      <protection/>
    </xf>
    <xf numFmtId="0" fontId="0" fillId="0" borderId="0" xfId="0" applyNumberFormat="1" applyAlignment="1" applyProtection="1">
      <alignment vertical="center" shrinkToFit="1"/>
      <protection/>
    </xf>
    <xf numFmtId="0" fontId="0" fillId="0" borderId="14" xfId="0" applyNumberFormat="1" applyBorder="1" applyAlignment="1" applyProtection="1">
      <alignment horizontal="center" vertical="top" shrinkToFit="1"/>
      <protection/>
    </xf>
    <xf numFmtId="0" fontId="0" fillId="0" borderId="14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 applyProtection="1">
      <alignment horizontal="center" vertical="top" shrinkToFit="1"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0" fontId="21" fillId="4" borderId="14" xfId="0" applyNumberFormat="1" applyFont="1" applyFill="1" applyBorder="1" applyAlignment="1" applyProtection="1">
      <alignment wrapText="1"/>
      <protection locked="0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29" borderId="0" xfId="0" applyFont="1" applyFill="1" applyBorder="1" applyAlignment="1">
      <alignment horizontal="center" vertical="center" shrinkToFit="1"/>
    </xf>
    <xf numFmtId="0" fontId="39" fillId="29" borderId="24" xfId="0" applyFont="1" applyFill="1" applyBorder="1" applyAlignment="1">
      <alignment vertical="center" shrinkToFit="1"/>
    </xf>
    <xf numFmtId="0" fontId="39" fillId="29" borderId="25" xfId="0" applyFont="1" applyFill="1" applyBorder="1" applyAlignment="1">
      <alignment vertical="center" shrinkToFit="1"/>
    </xf>
    <xf numFmtId="0" fontId="39" fillId="29" borderId="0" xfId="0" applyFont="1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0" fillId="29" borderId="24" xfId="0" applyFont="1" applyFill="1" applyBorder="1" applyAlignment="1">
      <alignment horizontal="left" vertical="center" indent="1" shrinkToFit="1"/>
    </xf>
    <xf numFmtId="0" fontId="40" fillId="29" borderId="0" xfId="0" applyFont="1" applyFill="1" applyBorder="1" applyAlignment="1">
      <alignment horizontal="left" vertical="center" indent="1" shrinkToFit="1"/>
    </xf>
    <xf numFmtId="0" fontId="41" fillId="0" borderId="26" xfId="0" applyFont="1" applyFill="1" applyBorder="1" applyAlignment="1" applyProtection="1">
      <alignment horizontal="left" vertical="center" shrinkToFit="1"/>
      <protection locked="0"/>
    </xf>
    <xf numFmtId="0" fontId="41" fillId="0" borderId="26" xfId="0" applyFont="1" applyFill="1" applyBorder="1" applyAlignment="1" applyProtection="1">
      <alignment horizontal="left" vertical="center" shrinkToFit="1"/>
      <protection/>
    </xf>
    <xf numFmtId="14" fontId="41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42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9" fillId="0" borderId="16" xfId="54" applyFont="1" applyFill="1" applyBorder="1" applyAlignment="1" applyProtection="1">
      <alignment horizontal="center" vertical="center" readingOrder="1"/>
      <protection locked="0"/>
    </xf>
    <xf numFmtId="0" fontId="29" fillId="0" borderId="17" xfId="54" applyFont="1" applyFill="1" applyBorder="1" applyAlignment="1" applyProtection="1">
      <alignment horizontal="center" vertical="center" readingOrder="1"/>
      <protection locked="0"/>
    </xf>
    <xf numFmtId="0" fontId="33" fillId="0" borderId="22" xfId="0" applyFont="1" applyFill="1" applyBorder="1" applyAlignment="1">
      <alignment horizontal="center" vertical="center" shrinkToFit="1"/>
    </xf>
    <xf numFmtId="0" fontId="0" fillId="20" borderId="0" xfId="0" applyFont="1" applyFill="1" applyBorder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5" fillId="26" borderId="0" xfId="54" applyFill="1" applyBorder="1" applyAlignment="1">
      <alignment vertical="center" wrapText="1"/>
      <protection/>
    </xf>
    <xf numFmtId="0" fontId="15" fillId="26" borderId="0" xfId="54" applyFill="1" applyAlignment="1">
      <alignment vertical="center" wrapText="1"/>
      <protection/>
    </xf>
    <xf numFmtId="0" fontId="15" fillId="24" borderId="0" xfId="54" applyFill="1" applyBorder="1" applyProtection="1">
      <alignment vertical="top"/>
      <protection locked="0"/>
    </xf>
    <xf numFmtId="0" fontId="15" fillId="24" borderId="0" xfId="54" applyFill="1" applyBorder="1" applyAlignment="1" applyProtection="1">
      <alignment vertical="center" wrapText="1"/>
      <protection locked="0"/>
    </xf>
    <xf numFmtId="0" fontId="43" fillId="0" borderId="27" xfId="54" applyFont="1" applyBorder="1" applyAlignment="1">
      <alignment horizontal="center" vertical="center" shrinkToFit="1" readingOrder="1"/>
      <protection/>
    </xf>
    <xf numFmtId="0" fontId="44" fillId="0" borderId="27" xfId="54" applyFont="1" applyBorder="1" applyAlignment="1">
      <alignment horizontal="center" vertical="center" wrapText="1" readingOrder="1"/>
      <protection/>
    </xf>
    <xf numFmtId="14" fontId="44" fillId="0" borderId="27" xfId="54" applyNumberFormat="1" applyFont="1" applyBorder="1" applyAlignment="1">
      <alignment horizontal="center" vertical="center" wrapText="1" readingOrder="1"/>
      <protection/>
    </xf>
    <xf numFmtId="0" fontId="44" fillId="0" borderId="27" xfId="54" applyFont="1" applyBorder="1" applyAlignment="1">
      <alignment horizontal="center" vertical="center" wrapText="1"/>
      <protection/>
    </xf>
    <xf numFmtId="0" fontId="45" fillId="0" borderId="27" xfId="54" applyFont="1" applyBorder="1" applyAlignment="1">
      <alignment horizontal="center" vertical="center" wrapText="1" readingOrder="1"/>
      <protection/>
    </xf>
    <xf numFmtId="0" fontId="15" fillId="0" borderId="0" xfId="54" applyFill="1" applyAlignment="1">
      <alignment vertical="center" wrapText="1"/>
      <protection/>
    </xf>
    <xf numFmtId="0" fontId="15" fillId="0" borderId="0" xfId="54" applyFill="1" applyAlignment="1">
      <alignment vertic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1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 applyProtection="1">
      <alignment shrinkToFi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20" borderId="0" xfId="0" applyFill="1" applyBorder="1" applyAlignment="1" applyProtection="1">
      <alignment horizontal="left" vertical="center" shrinkToFit="1"/>
      <protection locked="0"/>
    </xf>
    <xf numFmtId="0" fontId="0" fillId="20" borderId="0" xfId="0" applyFill="1" applyAlignment="1" applyProtection="1">
      <alignment shrinkToFit="1"/>
      <protection locked="0"/>
    </xf>
    <xf numFmtId="0" fontId="0" fillId="20" borderId="0" xfId="0" applyFill="1" applyAlignment="1">
      <alignment horizontal="right"/>
    </xf>
    <xf numFmtId="0" fontId="0" fillId="20" borderId="0" xfId="0" applyFill="1" applyAlignment="1" applyProtection="1">
      <alignment/>
      <protection/>
    </xf>
    <xf numFmtId="0" fontId="0" fillId="20" borderId="0" xfId="0" applyFill="1" applyBorder="1" applyAlignment="1">
      <alignment/>
    </xf>
    <xf numFmtId="166" fontId="0" fillId="20" borderId="0" xfId="0" applyNumberFormat="1" applyFill="1" applyBorder="1" applyAlignment="1">
      <alignment/>
    </xf>
    <xf numFmtId="0" fontId="0" fillId="20" borderId="0" xfId="0" applyFill="1" applyBorder="1" applyAlignment="1" applyProtection="1">
      <alignment/>
      <protection locked="0"/>
    </xf>
    <xf numFmtId="0" fontId="0" fillId="20" borderId="0" xfId="0" applyFill="1" applyAlignment="1" applyProtection="1">
      <alignment horizontal="center"/>
      <protection locked="0"/>
    </xf>
    <xf numFmtId="0" fontId="19" fillId="20" borderId="0" xfId="0" applyNumberFormat="1" applyFont="1" applyFill="1" applyAlignment="1" applyProtection="1">
      <alignment vertical="center"/>
      <protection locked="0"/>
    </xf>
    <xf numFmtId="0" fontId="0" fillId="20" borderId="0" xfId="0" applyFont="1" applyFill="1" applyAlignment="1">
      <alignment vertical="center" wrapText="1"/>
    </xf>
    <xf numFmtId="0" fontId="0" fillId="20" borderId="0" xfId="0" applyFont="1" applyFill="1" applyAlignment="1">
      <alignment vertical="center"/>
    </xf>
    <xf numFmtId="0" fontId="3" fillId="20" borderId="0" xfId="0" applyFont="1" applyFill="1" applyAlignment="1">
      <alignment/>
    </xf>
    <xf numFmtId="0" fontId="6" fillId="20" borderId="0" xfId="0" applyFont="1" applyFill="1" applyAlignment="1">
      <alignment horizontal="center" vertical="center" wrapText="1"/>
    </xf>
    <xf numFmtId="0" fontId="0" fillId="20" borderId="0" xfId="0" applyFont="1" applyFill="1" applyAlignment="1">
      <alignment horizontal="center" vertical="center" wrapText="1"/>
    </xf>
    <xf numFmtId="0" fontId="15" fillId="24" borderId="10" xfId="54" applyFont="1" applyFill="1" applyBorder="1" applyAlignment="1">
      <alignment horizontal="center" vertical="center" wrapText="1" shrinkToFit="1" readingOrder="1"/>
      <protection/>
    </xf>
    <xf numFmtId="0" fontId="15" fillId="0" borderId="0" xfId="54" applyFill="1" applyBorder="1" applyAlignment="1">
      <alignment vertical="top"/>
      <protection/>
    </xf>
    <xf numFmtId="0" fontId="15" fillId="0" borderId="0" xfId="54" applyAlignment="1">
      <alignment vertical="top"/>
      <protection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20" borderId="0" xfId="0" applyFont="1" applyFill="1" applyAlignment="1">
      <alignment horizontal="center" shrinkToFit="1"/>
    </xf>
    <xf numFmtId="0" fontId="0" fillId="20" borderId="0" xfId="0" applyFill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 applyProtection="1">
      <alignment shrinkToFit="1"/>
      <protection/>
    </xf>
    <xf numFmtId="0" fontId="0" fillId="20" borderId="0" xfId="0" applyFill="1" applyBorder="1" applyAlignment="1" applyProtection="1">
      <alignment horizontal="left" vertical="center" shrinkToFit="1"/>
      <protection/>
    </xf>
    <xf numFmtId="0" fontId="0" fillId="20" borderId="0" xfId="0" applyFont="1" applyFill="1" applyAlignment="1" applyProtection="1">
      <alignment shrinkToFit="1"/>
      <protection locked="0"/>
    </xf>
    <xf numFmtId="0" fontId="17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shrinkToFit="1"/>
    </xf>
    <xf numFmtId="0" fontId="0" fillId="0" borderId="0" xfId="0" applyFill="1" applyAlignment="1" applyProtection="1">
      <alignment shrinkToFit="1"/>
      <protection/>
    </xf>
    <xf numFmtId="0" fontId="0" fillId="0" borderId="0" xfId="0" applyFont="1" applyFill="1" applyAlignment="1">
      <alignment shrinkToFit="1"/>
    </xf>
    <xf numFmtId="1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Font="1" applyBorder="1" applyAlignment="1">
      <alignment horizontal="right" shrinkToFit="1"/>
    </xf>
    <xf numFmtId="0" fontId="0" fillId="0" borderId="10" xfId="0" applyFont="1" applyBorder="1" applyAlignment="1">
      <alignment shrinkToFi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168" fontId="49" fillId="0" borderId="13" xfId="0" applyNumberFormat="1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right" vertical="center"/>
    </xf>
    <xf numFmtId="0" fontId="40" fillId="29" borderId="0" xfId="0" applyFont="1" applyFill="1" applyBorder="1" applyAlignment="1">
      <alignment horizontal="left" vertical="center" indent="1" shrinkToFit="1"/>
    </xf>
    <xf numFmtId="167" fontId="41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3" fillId="0" borderId="0" xfId="0" applyFont="1" applyAlignment="1">
      <alignment vertical="top" shrinkToFit="1"/>
    </xf>
    <xf numFmtId="0" fontId="3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0" xfId="0" applyFont="1" applyBorder="1" applyAlignment="1" applyProtection="1">
      <alignment horizontal="left" vertical="top" shrinkToFit="1"/>
      <protection/>
    </xf>
    <xf numFmtId="0" fontId="3" fillId="20" borderId="0" xfId="0" applyFont="1" applyFill="1" applyAlignment="1">
      <alignment vertical="top" shrinkToFit="1"/>
    </xf>
    <xf numFmtId="0" fontId="3" fillId="2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164" fontId="0" fillId="0" borderId="0" xfId="0" applyNumberFormat="1" applyFont="1" applyFill="1" applyBorder="1" applyAlignment="1" applyProtection="1">
      <alignment horizontal="center" shrinkToFit="1"/>
      <protection/>
    </xf>
    <xf numFmtId="14" fontId="0" fillId="0" borderId="0" xfId="0" applyNumberFormat="1" applyFont="1" applyFill="1" applyBorder="1" applyAlignment="1" applyProtection="1">
      <alignment horizontal="center" shrinkToFit="1"/>
      <protection/>
    </xf>
    <xf numFmtId="0" fontId="0" fillId="21" borderId="0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/>
      <protection/>
    </xf>
    <xf numFmtId="0" fontId="0" fillId="21" borderId="0" xfId="0" applyFont="1" applyFill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164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21" borderId="0" xfId="0" applyFill="1" applyBorder="1" applyAlignment="1" applyProtection="1">
      <alignment/>
      <protection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 applyProtection="1">
      <alignment horizontal="center"/>
      <protection/>
    </xf>
    <xf numFmtId="0" fontId="5" fillId="0" borderId="0" xfId="53" applyNumberFormat="1" applyFont="1" applyBorder="1" applyAlignment="1">
      <alignment horizontal="right"/>
      <protection/>
    </xf>
    <xf numFmtId="0" fontId="0" fillId="0" borderId="0" xfId="53" applyFont="1" applyAlignment="1">
      <alignment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0" fillId="0" borderId="0" xfId="53" applyNumberFormat="1" applyFont="1" applyAlignment="1">
      <alignment vertical="center"/>
      <protection/>
    </xf>
    <xf numFmtId="0" fontId="0" fillId="0" borderId="0" xfId="53" applyFont="1" applyFill="1" applyAlignment="1" applyProtection="1">
      <alignment vertical="center" wrapText="1"/>
      <protection locked="0"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NumberFormat="1" applyFont="1" applyAlignment="1">
      <alignment horizontal="right" vertical="center" wrapText="1"/>
      <protection/>
    </xf>
    <xf numFmtId="0" fontId="0" fillId="0" borderId="0" xfId="53" applyNumberFormat="1" applyFont="1" applyAlignment="1">
      <alignment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Alignment="1">
      <alignment shrinkToFit="1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Alignment="1">
      <alignment horizontal="center"/>
      <protection/>
    </xf>
    <xf numFmtId="0" fontId="0" fillId="0" borderId="0" xfId="53" applyFont="1" applyBorder="1" applyAlignment="1" applyProtection="1">
      <alignment horizontal="center"/>
      <protection/>
    </xf>
    <xf numFmtId="0" fontId="3" fillId="0" borderId="0" xfId="53" applyNumberFormat="1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NumberFormat="1" applyFont="1" applyFill="1" applyAlignment="1">
      <alignment vertical="center" wrapText="1"/>
      <protection/>
    </xf>
    <xf numFmtId="0" fontId="0" fillId="0" borderId="0" xfId="53" applyNumberFormat="1" applyFont="1" applyFill="1" applyBorder="1" applyAlignment="1">
      <alignment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0" fillId="0" borderId="0" xfId="53" applyFont="1" applyBorder="1" applyAlignment="1" applyProtection="1">
      <alignment horizontal="left" shrinkToFit="1"/>
      <protection/>
    </xf>
    <xf numFmtId="0" fontId="0" fillId="0" borderId="0" xfId="53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NumberFormat="1" applyFont="1" applyBorder="1" applyAlignment="1">
      <alignment horizontal="center" vertical="center" wrapTex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49" fontId="0" fillId="0" borderId="0" xfId="53" applyNumberFormat="1" applyFont="1" applyBorder="1" applyAlignment="1">
      <alignment horizontal="center" shrinkToFit="1"/>
      <protection/>
    </xf>
    <xf numFmtId="49" fontId="0" fillId="0" borderId="0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0" xfId="53" applyFont="1" applyAlignment="1">
      <alignment horizontal="center" wrapText="1"/>
      <protection/>
    </xf>
    <xf numFmtId="0" fontId="0" fillId="0" borderId="14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14" xfId="53" applyNumberFormat="1" applyFont="1" applyBorder="1" applyAlignment="1" applyProtection="1">
      <alignment horizontal="center" vertical="top" shrinkToFit="1"/>
      <protection/>
    </xf>
    <xf numFmtId="49" fontId="0" fillId="0" borderId="14" xfId="53" applyNumberFormat="1" applyFont="1" applyBorder="1" applyAlignment="1" applyProtection="1">
      <alignment horizontal="center" shrinkToFit="1"/>
      <protection/>
    </xf>
    <xf numFmtId="0" fontId="0" fillId="0" borderId="14" xfId="53" applyNumberFormat="1" applyFont="1" applyBorder="1" applyAlignment="1">
      <alignment horizontal="center" shrinkToFit="1"/>
      <protection/>
    </xf>
    <xf numFmtId="0" fontId="0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 applyProtection="1">
      <alignment horizontal="center" shrinkToFit="1"/>
      <protection/>
    </xf>
    <xf numFmtId="0" fontId="7" fillId="0" borderId="0" xfId="53" applyNumberFormat="1" applyFont="1" applyBorder="1" applyAlignment="1" applyProtection="1">
      <alignment horizontal="left" shrinkToFit="1"/>
      <protection/>
    </xf>
    <xf numFmtId="0" fontId="7" fillId="0" borderId="0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Fill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14" xfId="53" applyFont="1" applyBorder="1" applyAlignment="1">
      <alignment horizontal="center" wrapText="1"/>
      <protection/>
    </xf>
    <xf numFmtId="0" fontId="0" fillId="0" borderId="0" xfId="53" applyFont="1" applyAlignment="1">
      <alignment vertical="center" shrinkToFit="1"/>
      <protection/>
    </xf>
    <xf numFmtId="0" fontId="0" fillId="0" borderId="14" xfId="53" applyFont="1" applyBorder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Border="1" applyAlignment="1" applyProtection="1">
      <alignment horizontal="center" shrinkToFit="1"/>
      <protection/>
    </xf>
    <xf numFmtId="0" fontId="0" fillId="0" borderId="0" xfId="53" applyFont="1" applyAlignment="1" applyProtection="1">
      <alignment horizontal="center" shrinkToFit="1"/>
      <protection/>
    </xf>
    <xf numFmtId="0" fontId="0" fillId="0" borderId="0" xfId="53" applyFont="1" applyBorder="1" applyAlignment="1">
      <alignment horizontal="center" vertical="center" shrinkToFit="1"/>
      <protection/>
    </xf>
    <xf numFmtId="0" fontId="0" fillId="0" borderId="13" xfId="53" applyFont="1" applyBorder="1" applyAlignment="1" applyProtection="1">
      <alignment horizontal="center" vertical="center" shrinkToFit="1"/>
      <protection/>
    </xf>
    <xf numFmtId="0" fontId="7" fillId="0" borderId="0" xfId="53" applyFont="1" applyBorder="1" applyAlignment="1">
      <alignment vertical="center" wrapText="1"/>
      <protection/>
    </xf>
    <xf numFmtId="49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0" xfId="53" applyNumberFormat="1" applyFont="1" applyAlignment="1">
      <alignment vertical="center" shrinkToFit="1"/>
      <protection/>
    </xf>
    <xf numFmtId="0" fontId="0" fillId="0" borderId="0" xfId="53" applyFont="1" applyAlignment="1" applyProtection="1">
      <alignment vertical="center" shrinkToFit="1"/>
      <protection/>
    </xf>
    <xf numFmtId="0" fontId="0" fillId="0" borderId="0" xfId="53" applyFont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center" vertical="center" shrinkToFit="1"/>
      <protection/>
    </xf>
    <xf numFmtId="0" fontId="0" fillId="0" borderId="0" xfId="53" applyFont="1" applyAlignment="1">
      <alignment horizontal="left" vertical="center"/>
      <protection/>
    </xf>
    <xf numFmtId="0" fontId="0" fillId="0" borderId="10" xfId="53" applyNumberFormat="1" applyFont="1" applyBorder="1" applyAlignment="1">
      <alignment vertical="center" wrapText="1"/>
      <protection/>
    </xf>
    <xf numFmtId="0" fontId="3" fillId="0" borderId="0" xfId="53" applyNumberFormat="1" applyFont="1" applyAlignment="1">
      <alignment horizontal="center" vertical="top" shrinkToFit="1"/>
      <protection/>
    </xf>
    <xf numFmtId="0" fontId="3" fillId="0" borderId="0" xfId="53" applyFont="1" applyBorder="1" applyAlignment="1" applyProtection="1">
      <alignment horizontal="center" vertical="top" wrapText="1"/>
      <protection/>
    </xf>
    <xf numFmtId="0" fontId="0" fillId="0" borderId="0" xfId="53" applyFont="1" applyBorder="1" applyAlignment="1">
      <alignment vertical="center" shrinkToFit="1"/>
      <protection/>
    </xf>
    <xf numFmtId="0" fontId="0" fillId="0" borderId="0" xfId="53" applyNumberFormat="1" applyFont="1" applyBorder="1" applyAlignment="1">
      <alignment vertical="center" shrinkToFit="1"/>
      <protection/>
    </xf>
    <xf numFmtId="0" fontId="3" fillId="0" borderId="0" xfId="53" applyNumberFormat="1" applyFont="1" applyAlignment="1">
      <alignment vertical="center"/>
      <protection/>
    </xf>
    <xf numFmtId="0" fontId="21" fillId="4" borderId="21" xfId="0" applyNumberFormat="1" applyFont="1" applyFill="1" applyBorder="1" applyAlignment="1" applyProtection="1">
      <alignment horizontal="left" shrinkToFit="1"/>
      <protection locked="0"/>
    </xf>
    <xf numFmtId="1" fontId="0" fillId="20" borderId="0" xfId="0" applyNumberFormat="1" applyFill="1" applyAlignment="1">
      <alignment/>
    </xf>
    <xf numFmtId="0" fontId="0" fillId="20" borderId="0" xfId="0" applyFont="1" applyFill="1" applyBorder="1" applyAlignment="1" applyProtection="1">
      <alignment/>
      <protection/>
    </xf>
    <xf numFmtId="1" fontId="15" fillId="24" borderId="10" xfId="54" applyNumberFormat="1" applyFill="1" applyBorder="1" applyAlignment="1">
      <alignment horizontal="center" vertical="center"/>
      <protection/>
    </xf>
    <xf numFmtId="0" fontId="7" fillId="0" borderId="0" xfId="53" applyFont="1" applyFill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vertical="center" wrapText="1"/>
      <protection/>
    </xf>
    <xf numFmtId="0" fontId="3" fillId="0" borderId="0" xfId="53" applyFont="1" applyFill="1" applyAlignment="1" applyProtection="1">
      <alignment shrinkToFit="1"/>
      <protection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shrinkToFit="1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0" fillId="22" borderId="28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20" borderId="0" xfId="0" applyFill="1" applyAlignment="1" applyProtection="1">
      <alignment/>
      <protection locked="0"/>
    </xf>
    <xf numFmtId="0" fontId="7" fillId="0" borderId="0" xfId="53" applyFont="1" applyBorder="1" applyAlignment="1">
      <alignment horizontal="center" vertical="center" shrinkToFit="1"/>
      <protection/>
    </xf>
    <xf numFmtId="0" fontId="0" fillId="0" borderId="29" xfId="53" applyFont="1" applyBorder="1" applyAlignment="1">
      <alignment horizontal="center" vertical="center" shrinkToFit="1"/>
      <protection/>
    </xf>
    <xf numFmtId="0" fontId="0" fillId="0" borderId="21" xfId="0" applyBorder="1" applyAlignment="1" applyProtection="1">
      <alignment horizontal="left"/>
      <protection locked="0"/>
    </xf>
    <xf numFmtId="0" fontId="0" fillId="0" borderId="30" xfId="0" applyBorder="1" applyAlignment="1">
      <alignment horizontal="left"/>
    </xf>
    <xf numFmtId="0" fontId="0" fillId="20" borderId="29" xfId="0" applyFont="1" applyFill="1" applyBorder="1" applyAlignment="1">
      <alignment horizontal="left" shrinkToFit="1"/>
    </xf>
    <xf numFmtId="0" fontId="0" fillId="20" borderId="14" xfId="0" applyFont="1" applyFill="1" applyBorder="1" applyAlignment="1">
      <alignment shrinkToFit="1"/>
    </xf>
    <xf numFmtId="0" fontId="0" fillId="20" borderId="29" xfId="0" applyFont="1" applyFill="1" applyBorder="1" applyAlignment="1">
      <alignment shrinkToFit="1"/>
    </xf>
    <xf numFmtId="0" fontId="3" fillId="0" borderId="0" xfId="0" applyFont="1" applyAlignment="1">
      <alignment horizontal="left" vertical="top" shrinkToFit="1"/>
    </xf>
    <xf numFmtId="0" fontId="0" fillId="0" borderId="0" xfId="0" applyAlignment="1">
      <alignment horizontal="left" shrinkToFit="1"/>
    </xf>
    <xf numFmtId="0" fontId="0" fillId="0" borderId="21" xfId="0" applyBorder="1" applyAlignment="1" applyProtection="1">
      <alignment horizontal="left"/>
      <protection/>
    </xf>
    <xf numFmtId="0" fontId="0" fillId="20" borderId="29" xfId="0" applyFont="1" applyFill="1" applyBorder="1" applyAlignment="1">
      <alignment shrinkToFit="1"/>
    </xf>
    <xf numFmtId="0" fontId="0" fillId="20" borderId="31" xfId="0" applyFill="1" applyBorder="1" applyAlignment="1">
      <alignment shrinkToFit="1"/>
    </xf>
    <xf numFmtId="0" fontId="0" fillId="20" borderId="0" xfId="0" applyFont="1" applyFill="1" applyBorder="1" applyAlignment="1">
      <alignment shrinkToFit="1"/>
    </xf>
    <xf numFmtId="0" fontId="19" fillId="31" borderId="0" xfId="0" applyFont="1" applyFill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17" fillId="0" borderId="32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shrinkToFit="1"/>
      <protection/>
    </xf>
    <xf numFmtId="0" fontId="0" fillId="2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5" fillId="27" borderId="0" xfId="54" applyFill="1" applyProtection="1">
      <alignment vertical="top"/>
      <protection/>
    </xf>
    <xf numFmtId="14" fontId="15" fillId="27" borderId="0" xfId="54" applyNumberFormat="1" applyFill="1" applyProtection="1">
      <alignment vertical="top"/>
      <protection/>
    </xf>
    <xf numFmtId="0" fontId="15" fillId="27" borderId="0" xfId="54" applyFill="1" applyAlignment="1" applyProtection="1">
      <alignment horizontal="center" vertical="top"/>
      <protection/>
    </xf>
    <xf numFmtId="0" fontId="15" fillId="27" borderId="0" xfId="54" applyFill="1" applyBorder="1" applyProtection="1">
      <alignment vertical="top"/>
      <protection/>
    </xf>
    <xf numFmtId="0" fontId="15" fillId="24" borderId="0" xfId="54" applyFill="1" applyBorder="1" applyProtection="1">
      <alignment vertical="top"/>
      <protection/>
    </xf>
    <xf numFmtId="0" fontId="7" fillId="0" borderId="0" xfId="0" applyFont="1" applyFill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1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2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14" fontId="0" fillId="0" borderId="0" xfId="0" applyNumberFormat="1" applyFont="1" applyFill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shrinkToFit="1"/>
    </xf>
    <xf numFmtId="0" fontId="68" fillId="0" borderId="0" xfId="0" applyNumberFormat="1" applyFont="1" applyAlignment="1" applyProtection="1">
      <alignment horizontal="right"/>
      <protection/>
    </xf>
    <xf numFmtId="168" fontId="49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0" fillId="0" borderId="23" xfId="53" applyBorder="1" applyAlignment="1" applyProtection="1">
      <alignment horizontal="left" vertical="center" wrapText="1"/>
      <protection locked="0"/>
    </xf>
    <xf numFmtId="0" fontId="0" fillId="0" borderId="27" xfId="53" applyBorder="1" applyAlignment="1" applyProtection="1">
      <alignment horizontal="left" vertical="center" wrapText="1"/>
      <protection locked="0"/>
    </xf>
    <xf numFmtId="0" fontId="0" fillId="0" borderId="20" xfId="53" applyBorder="1" applyAlignment="1" applyProtection="1">
      <alignment horizontal="left" vertical="center" wrapText="1"/>
      <protection locked="0"/>
    </xf>
    <xf numFmtId="0" fontId="0" fillId="0" borderId="23" xfId="53" applyFont="1" applyBorder="1" applyAlignment="1" applyProtection="1">
      <alignment horizontal="left" vertical="center" wrapText="1"/>
      <protection locked="0"/>
    </xf>
    <xf numFmtId="0" fontId="23" fillId="0" borderId="0" xfId="54" applyFont="1" applyBorder="1" applyAlignment="1">
      <alignment horizontal="left" vertical="top" indent="7" readingOrder="1"/>
      <protection/>
    </xf>
    <xf numFmtId="0" fontId="27" fillId="0" borderId="0" xfId="54" applyFont="1" applyBorder="1" applyAlignment="1">
      <alignment horizontal="center" vertical="top" readingOrder="1"/>
      <protection/>
    </xf>
    <xf numFmtId="0" fontId="49" fillId="0" borderId="23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0" fillId="0" borderId="0" xfId="53" applyNumberFormat="1" applyFont="1" applyBorder="1" applyAlignment="1" applyProtection="1">
      <alignment horizontal="center" vertical="center" shrinkToFi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0" xfId="53" applyFont="1" applyBorder="1" applyAlignment="1" applyProtection="1">
      <alignment horizontal="left" vertical="center" shrinkToFit="1"/>
      <protection/>
    </xf>
    <xf numFmtId="49" fontId="0" fillId="0" borderId="15" xfId="53" applyNumberFormat="1" applyFont="1" applyBorder="1" applyAlignment="1" applyProtection="1">
      <alignment horizontal="center" vertical="top" shrinkToFit="1"/>
      <protection locked="0"/>
    </xf>
    <xf numFmtId="0" fontId="0" fillId="0" borderId="27" xfId="53" applyFont="1" applyBorder="1" applyAlignment="1" applyProtection="1">
      <alignment horizontal="left" vertical="center" shrinkToFit="1"/>
      <protection/>
    </xf>
    <xf numFmtId="0" fontId="0" fillId="0" borderId="20" xfId="53" applyFont="1" applyBorder="1" applyAlignment="1" applyProtection="1">
      <alignment horizontal="left" vertical="center" shrinkToFit="1"/>
      <protection/>
    </xf>
    <xf numFmtId="0" fontId="0" fillId="0" borderId="23" xfId="53" applyNumberFormat="1" applyFont="1" applyBorder="1" applyAlignment="1" applyProtection="1">
      <alignment horizontal="center" vertical="center" shrinkToFit="1"/>
      <protection/>
    </xf>
    <xf numFmtId="0" fontId="0" fillId="0" borderId="27" xfId="53" applyNumberFormat="1" applyFont="1" applyBorder="1" applyAlignment="1" applyProtection="1">
      <alignment horizontal="center" vertical="center" shrinkToFit="1"/>
      <protection/>
    </xf>
    <xf numFmtId="0" fontId="0" fillId="0" borderId="20" xfId="53" applyNumberFormat="1" applyFont="1" applyBorder="1" applyAlignment="1" applyProtection="1">
      <alignment horizontal="center" vertical="center" shrinkToFit="1"/>
      <protection/>
    </xf>
    <xf numFmtId="49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15" xfId="53" applyNumberFormat="1" applyFont="1" applyBorder="1" applyAlignment="1">
      <alignment horizontal="left" shrinkToFit="1"/>
      <protection/>
    </xf>
    <xf numFmtId="0" fontId="0" fillId="0" borderId="30" xfId="53" applyNumberFormat="1" applyFont="1" applyBorder="1" applyAlignment="1">
      <alignment horizontal="left" shrinkToFit="1"/>
      <protection/>
    </xf>
    <xf numFmtId="0" fontId="0" fillId="0" borderId="10" xfId="53" applyNumberFormat="1" applyFont="1" applyBorder="1" applyAlignment="1">
      <alignment horizontal="left" shrinkToFit="1"/>
      <protection/>
    </xf>
    <xf numFmtId="0" fontId="0" fillId="0" borderId="31" xfId="53" applyNumberFormat="1" applyFont="1" applyBorder="1" applyAlignment="1">
      <alignment horizontal="left" shrinkToFit="1"/>
      <protection/>
    </xf>
    <xf numFmtId="0" fontId="7" fillId="0" borderId="0" xfId="53" applyFont="1" applyBorder="1" applyAlignment="1">
      <alignment horizontal="center" vertical="center" shrinkToFi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0" xfId="53" applyFont="1" applyBorder="1" applyAlignment="1" applyProtection="1">
      <alignment horizontal="center" shrinkToFit="1"/>
      <protection/>
    </xf>
    <xf numFmtId="0" fontId="0" fillId="0" borderId="10" xfId="53" applyFont="1" applyBorder="1" applyAlignment="1" applyProtection="1">
      <alignment horizontal="center" shrinkToFit="1"/>
      <protection/>
    </xf>
    <xf numFmtId="49" fontId="3" fillId="0" borderId="15" xfId="53" applyNumberFormat="1" applyFont="1" applyFill="1" applyBorder="1" applyAlignment="1">
      <alignment horizontal="center" vertical="center" wrapText="1" shrinkToFit="1"/>
      <protection/>
    </xf>
    <xf numFmtId="49" fontId="3" fillId="0" borderId="30" xfId="53" applyNumberFormat="1" applyFont="1" applyFill="1" applyBorder="1" applyAlignment="1">
      <alignment horizontal="center" vertical="center" wrapText="1" shrinkToFit="1"/>
      <protection/>
    </xf>
    <xf numFmtId="49" fontId="3" fillId="0" borderId="10" xfId="53" applyNumberFormat="1" applyFont="1" applyFill="1" applyBorder="1" applyAlignment="1">
      <alignment horizontal="center" vertical="center" wrapText="1" shrinkToFit="1"/>
      <protection/>
    </xf>
    <xf numFmtId="49" fontId="3" fillId="0" borderId="31" xfId="53" applyNumberFormat="1" applyFont="1" applyFill="1" applyBorder="1" applyAlignment="1">
      <alignment horizontal="center" vertical="center" wrapText="1" shrinkToFit="1"/>
      <protection/>
    </xf>
    <xf numFmtId="0" fontId="0" fillId="0" borderId="15" xfId="53" applyNumberFormat="1" applyFont="1" applyBorder="1" applyAlignment="1" applyProtection="1">
      <alignment horizontal="center" vertical="top" shrinkToFit="1"/>
      <protection locked="0"/>
    </xf>
    <xf numFmtId="49" fontId="0" fillId="0" borderId="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9" fillId="0" borderId="21" xfId="53" applyNumberFormat="1" applyFont="1" applyFill="1" applyBorder="1" applyAlignment="1">
      <alignment horizontal="center" vertical="center" wrapText="1"/>
      <protection/>
    </xf>
    <xf numFmtId="0" fontId="9" fillId="0" borderId="15" xfId="53" applyNumberFormat="1" applyFont="1" applyFill="1" applyBorder="1" applyAlignment="1">
      <alignment horizontal="center" vertical="center" wrapText="1"/>
      <protection/>
    </xf>
    <xf numFmtId="0" fontId="9" fillId="0" borderId="30" xfId="53" applyNumberFormat="1" applyFont="1" applyFill="1" applyBorder="1" applyAlignment="1">
      <alignment horizontal="center" vertical="center" wrapText="1"/>
      <protection/>
    </xf>
    <xf numFmtId="0" fontId="9" fillId="0" borderId="33" xfId="53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 shrinkToFit="1"/>
      <protection/>
    </xf>
    <xf numFmtId="0" fontId="0" fillId="0" borderId="15" xfId="0" applyNumberFormat="1" applyFont="1" applyBorder="1" applyAlignment="1" applyProtection="1">
      <alignment horizontal="left" shrinkToFit="1"/>
      <protection/>
    </xf>
    <xf numFmtId="0" fontId="0" fillId="0" borderId="10" xfId="0" applyBorder="1" applyAlignment="1">
      <alignment/>
    </xf>
    <xf numFmtId="0" fontId="0" fillId="0" borderId="30" xfId="0" applyNumberFormat="1" applyFont="1" applyBorder="1" applyAlignment="1" applyProtection="1">
      <alignment horizontal="left" shrinkToFit="1"/>
      <protection/>
    </xf>
    <xf numFmtId="0" fontId="0" fillId="0" borderId="31" xfId="0" applyNumberFormat="1" applyFont="1" applyBorder="1" applyAlignment="1" applyProtection="1">
      <alignment horizontal="left" shrinkToFit="1"/>
      <protection/>
    </xf>
    <xf numFmtId="49" fontId="3" fillId="0" borderId="29" xfId="53" applyNumberFormat="1" applyFont="1" applyFill="1" applyBorder="1" applyAlignment="1">
      <alignment horizontal="center" vertical="center" wrapText="1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12" xfId="53" applyFont="1" applyBorder="1" applyAlignment="1">
      <alignment horizontal="center" wrapText="1"/>
      <protection/>
    </xf>
    <xf numFmtId="0" fontId="0" fillId="10" borderId="11" xfId="0" applyFont="1" applyFill="1" applyBorder="1" applyAlignment="1" applyProtection="1">
      <alignment horizontal="center" shrinkToFit="1"/>
      <protection locked="0"/>
    </xf>
    <xf numFmtId="0" fontId="0" fillId="10" borderId="12" xfId="0" applyFont="1" applyFill="1" applyBorder="1" applyAlignment="1" applyProtection="1">
      <alignment horizontal="center" shrinkToFit="1"/>
      <protection locked="0"/>
    </xf>
    <xf numFmtId="0" fontId="0" fillId="0" borderId="21" xfId="0" applyNumberFormat="1" applyFont="1" applyBorder="1" applyAlignment="1" applyProtection="1">
      <alignment horizontal="left" shrinkToFit="1"/>
      <protection/>
    </xf>
    <xf numFmtId="0" fontId="0" fillId="0" borderId="33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0" fillId="0" borderId="10" xfId="53" applyNumberFormat="1" applyFont="1" applyBorder="1" applyAlignment="1" applyProtection="1">
      <alignment horizontal="center" shrinkToFit="1"/>
      <protection/>
    </xf>
    <xf numFmtId="0" fontId="0" fillId="0" borderId="15" xfId="53" applyNumberFormat="1" applyFont="1" applyBorder="1" applyAlignment="1" applyProtection="1">
      <alignment horizontal="center" vertical="top" shrinkToFit="1"/>
      <protection locked="0"/>
    </xf>
    <xf numFmtId="0" fontId="0" fillId="4" borderId="11" xfId="0" applyFont="1" applyFill="1" applyBorder="1" applyAlignment="1" applyProtection="1">
      <alignment horizontal="center" shrinkToFit="1"/>
      <protection locked="0"/>
    </xf>
    <xf numFmtId="0" fontId="0" fillId="4" borderId="12" xfId="0" applyFont="1" applyFill="1" applyBorder="1" applyAlignment="1" applyProtection="1">
      <alignment horizontal="center" shrinkToFit="1"/>
      <protection locked="0"/>
    </xf>
    <xf numFmtId="0" fontId="0" fillId="0" borderId="21" xfId="0" applyNumberFormat="1" applyFont="1" applyBorder="1" applyAlignment="1" applyProtection="1">
      <alignment horizontal="left" shrinkToFit="1"/>
      <protection/>
    </xf>
    <xf numFmtId="0" fontId="0" fillId="0" borderId="10" xfId="0" applyNumberFormat="1" applyFont="1" applyBorder="1" applyAlignment="1" applyProtection="1">
      <alignment horizontal="left" shrinkToFit="1"/>
      <protection/>
    </xf>
    <xf numFmtId="0" fontId="0" fillId="0" borderId="30" xfId="53" applyNumberFormat="1" applyFont="1" applyBorder="1" applyAlignment="1" applyProtection="1">
      <alignment horizontal="center" vertical="top" shrinkToFit="1"/>
      <protection locked="0"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33" xfId="0" applyNumberFormat="1" applyFont="1" applyBorder="1" applyAlignment="1" applyProtection="1">
      <alignment horizontal="center" shrinkToFit="1"/>
      <protection/>
    </xf>
    <xf numFmtId="0" fontId="0" fillId="0" borderId="29" xfId="53" applyNumberFormat="1" applyFont="1" applyBorder="1" applyAlignment="1" applyProtection="1">
      <alignment horizontal="center" vertical="top" shrinkToFit="1"/>
      <protection/>
    </xf>
    <xf numFmtId="49" fontId="0" fillId="0" borderId="29" xfId="53" applyNumberFormat="1" applyFont="1" applyBorder="1" applyAlignment="1">
      <alignment horizontal="center" shrinkToFit="1"/>
      <protection/>
    </xf>
    <xf numFmtId="0" fontId="0" fillId="0" borderId="29" xfId="53" applyNumberFormat="1" applyFont="1" applyBorder="1" applyAlignment="1">
      <alignment horizontal="center" shrinkToFit="1"/>
      <protection/>
    </xf>
    <xf numFmtId="0" fontId="0" fillId="0" borderId="14" xfId="53" applyNumberFormat="1" applyFont="1" applyBorder="1" applyAlignment="1" applyProtection="1">
      <alignment horizontal="center" shrinkToFit="1"/>
      <protection/>
    </xf>
    <xf numFmtId="0" fontId="0" fillId="0" borderId="33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Alignment="1">
      <alignment horizontal="center" shrinkToFit="1"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7" fillId="0" borderId="0" xfId="53" applyFont="1" applyAlignment="1">
      <alignment horizontal="center" vertical="center" wrapText="1"/>
      <protection/>
    </xf>
    <xf numFmtId="0" fontId="6" fillId="0" borderId="0" xfId="53" applyNumberFormat="1" applyFont="1" applyFill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53" applyFont="1" applyBorder="1" applyAlignment="1" applyProtection="1">
      <alignment horizontal="center" vertical="center" shrinkToFit="1"/>
      <protection/>
    </xf>
    <xf numFmtId="0" fontId="3" fillId="0" borderId="15" xfId="53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0" fillId="0" borderId="34" xfId="53" applyFill="1" applyBorder="1" applyAlignment="1">
      <alignment horizontal="center" vertical="center" wrapText="1"/>
      <protection/>
    </xf>
    <xf numFmtId="0" fontId="0" fillId="0" borderId="12" xfId="53" applyFill="1" applyBorder="1" applyAlignment="1">
      <alignment horizontal="center" vertical="center" wrapText="1"/>
      <protection/>
    </xf>
    <xf numFmtId="0" fontId="14" fillId="4" borderId="11" xfId="0" applyFont="1" applyFill="1" applyBorder="1" applyAlignment="1" applyProtection="1">
      <alignment horizontal="center" vertical="center" wrapText="1"/>
      <protection/>
    </xf>
    <xf numFmtId="0" fontId="14" fillId="4" borderId="34" xfId="0" applyFont="1" applyFill="1" applyBorder="1" applyAlignment="1" applyProtection="1">
      <alignment horizontal="center" vertical="center" wrapText="1"/>
      <protection/>
    </xf>
    <xf numFmtId="0" fontId="14" fillId="4" borderId="12" xfId="0" applyFont="1" applyFill="1" applyBorder="1" applyAlignment="1" applyProtection="1">
      <alignment horizontal="center" vertical="center" wrapText="1"/>
      <protection/>
    </xf>
    <xf numFmtId="0" fontId="6" fillId="0" borderId="14" xfId="53" applyNumberFormat="1" applyFont="1" applyFill="1" applyBorder="1" applyAlignment="1">
      <alignment horizontal="center" vertical="center" wrapText="1"/>
      <protection/>
    </xf>
    <xf numFmtId="0" fontId="6" fillId="0" borderId="33" xfId="53" applyNumberFormat="1" applyFont="1" applyFill="1" applyBorder="1" applyAlignment="1">
      <alignment horizontal="center" vertical="center" wrapText="1"/>
      <protection/>
    </xf>
    <xf numFmtId="0" fontId="0" fillId="0" borderId="10" xfId="53" applyNumberFormat="1" applyFont="1" applyBorder="1" applyAlignment="1" applyProtection="1">
      <alignment horizontal="center" shrinkToFit="1"/>
      <protection/>
    </xf>
    <xf numFmtId="0" fontId="0" fillId="0" borderId="0" xfId="53" applyFont="1" applyAlignment="1">
      <alignment horizontal="right" vertical="center" wrapText="1"/>
      <protection/>
    </xf>
    <xf numFmtId="0" fontId="18" fillId="0" borderId="0" xfId="53" applyNumberFormat="1" applyFont="1" applyAlignment="1" applyProtection="1">
      <alignment horizontal="right" vertical="center"/>
      <protection/>
    </xf>
    <xf numFmtId="0" fontId="18" fillId="0" borderId="10" xfId="53" applyFont="1" applyBorder="1" applyAlignment="1" applyProtection="1">
      <alignment horizontal="center" vertical="center" shrinkToFit="1"/>
      <protection/>
    </xf>
    <xf numFmtId="0" fontId="3" fillId="0" borderId="0" xfId="53" applyFont="1" applyAlignment="1">
      <alignment horizontal="center"/>
      <protection/>
    </xf>
    <xf numFmtId="0" fontId="3" fillId="0" borderId="0" xfId="53" applyNumberFormat="1" applyFont="1" applyBorder="1" applyAlignment="1">
      <alignment horizontal="right"/>
      <protection/>
    </xf>
    <xf numFmtId="0" fontId="6" fillId="20" borderId="0" xfId="0" applyFont="1" applyFill="1" applyAlignment="1">
      <alignment horizontal="center" vertical="center" wrapText="1"/>
    </xf>
    <xf numFmtId="0" fontId="0" fillId="20" borderId="14" xfId="0" applyFont="1" applyFill="1" applyBorder="1" applyAlignment="1">
      <alignment horizontal="left" shrinkToFit="1"/>
    </xf>
    <xf numFmtId="0" fontId="0" fillId="20" borderId="33" xfId="0" applyFont="1" applyFill="1" applyBorder="1" applyAlignment="1">
      <alignment horizontal="left" shrinkToFit="1"/>
    </xf>
    <xf numFmtId="0" fontId="0" fillId="20" borderId="29" xfId="0" applyFont="1" applyFill="1" applyBorder="1" applyAlignment="1">
      <alignment horizontal="left" shrinkToFit="1"/>
    </xf>
    <xf numFmtId="0" fontId="0" fillId="20" borderId="31" xfId="0" applyFont="1" applyFill="1" applyBorder="1" applyAlignment="1">
      <alignment horizontal="left" shrinkToFit="1"/>
    </xf>
    <xf numFmtId="0" fontId="0" fillId="20" borderId="0" xfId="0" applyFont="1" applyFill="1" applyBorder="1" applyAlignment="1">
      <alignment horizontal="left" shrinkToFit="1"/>
    </xf>
    <xf numFmtId="0" fontId="0" fillId="20" borderId="10" xfId="0" applyFont="1" applyFill="1" applyBorder="1" applyAlignment="1">
      <alignment horizontal="left" shrinkToFit="1"/>
    </xf>
    <xf numFmtId="0" fontId="0" fillId="20" borderId="21" xfId="0" applyFont="1" applyFill="1" applyBorder="1" applyAlignment="1">
      <alignment horizontal="left" shrinkToFit="1"/>
    </xf>
    <xf numFmtId="0" fontId="0" fillId="20" borderId="30" xfId="0" applyFont="1" applyFill="1" applyBorder="1" applyAlignment="1">
      <alignment horizontal="left" shrinkToFit="1"/>
    </xf>
    <xf numFmtId="0" fontId="48" fillId="0" borderId="10" xfId="0" applyFont="1" applyBorder="1" applyAlignment="1">
      <alignment horizontal="center" vertical="center"/>
    </xf>
    <xf numFmtId="0" fontId="18" fillId="20" borderId="18" xfId="0" applyFont="1" applyFill="1" applyBorder="1" applyAlignment="1">
      <alignment horizontal="left" indent="2"/>
    </xf>
    <xf numFmtId="0" fontId="18" fillId="20" borderId="0" xfId="0" applyFont="1" applyFill="1" applyBorder="1" applyAlignment="1">
      <alignment horizontal="left" indent="2"/>
    </xf>
    <xf numFmtId="0" fontId="48" fillId="0" borderId="0" xfId="0" applyFont="1" applyAlignment="1">
      <alignment horizontal="center" vertical="center" shrinkToFit="1"/>
    </xf>
    <xf numFmtId="0" fontId="0" fillId="20" borderId="29" xfId="0" applyFont="1" applyFill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4" borderId="11" xfId="0" applyNumberFormat="1" applyFont="1" applyFill="1" applyBorder="1" applyAlignment="1" applyProtection="1">
      <alignment horizontal="center" wrapText="1"/>
      <protection/>
    </xf>
    <xf numFmtId="0" fontId="0" fillId="4" borderId="12" xfId="0" applyNumberFormat="1" applyFont="1" applyFill="1" applyBorder="1" applyAlignment="1" applyProtection="1">
      <alignment horizontal="center" wrapText="1"/>
      <protection/>
    </xf>
    <xf numFmtId="0" fontId="0" fillId="10" borderId="11" xfId="0" applyNumberFormat="1" applyFont="1" applyFill="1" applyBorder="1" applyAlignment="1" applyProtection="1">
      <alignment horizontal="center" wrapText="1"/>
      <protection/>
    </xf>
    <xf numFmtId="0" fontId="0" fillId="1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4" borderId="13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33" xfId="0" applyNumberFormat="1" applyFont="1" applyBorder="1" applyAlignment="1" applyProtection="1">
      <alignment horizontal="center" shrinkToFit="1"/>
      <protection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3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3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9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Border="1" applyAlignment="1" applyProtection="1">
      <alignment horizontal="left" shrinkToFit="1"/>
      <protection/>
    </xf>
    <xf numFmtId="0" fontId="0" fillId="0" borderId="10" xfId="0" applyNumberFormat="1" applyFont="1" applyBorder="1" applyAlignment="1" applyProtection="1">
      <alignment horizontal="left" shrinkToFit="1"/>
      <protection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NumberFormat="1" applyFont="1" applyAlignment="1">
      <alignment horizontal="left" shrinkToFit="1"/>
    </xf>
    <xf numFmtId="0" fontId="0" fillId="0" borderId="10" xfId="0" applyNumberFormat="1" applyFont="1" applyBorder="1" applyAlignment="1">
      <alignment horizontal="center" shrinkToFit="1"/>
    </xf>
    <xf numFmtId="0" fontId="3" fillId="0" borderId="15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10" xfId="0" applyBorder="1" applyAlignment="1" applyProtection="1">
      <alignment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 applyProtection="1">
      <alignment horizontal="left" shrinkToFit="1"/>
      <protection/>
    </xf>
    <xf numFmtId="0" fontId="0" fillId="0" borderId="31" xfId="0" applyNumberFormat="1" applyFont="1" applyBorder="1" applyAlignment="1" applyProtection="1">
      <alignment horizontal="left" shrinkToFit="1"/>
      <protection/>
    </xf>
    <xf numFmtId="0" fontId="0" fillId="0" borderId="30" xfId="0" applyNumberFormat="1" applyFont="1" applyBorder="1" applyAlignment="1" applyProtection="1">
      <alignment horizontal="center" shrinkToFit="1"/>
      <protection/>
    </xf>
    <xf numFmtId="0" fontId="0" fillId="0" borderId="31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 applyProtection="1">
      <alignment horizontal="center" vertical="top" shrinkToFit="1"/>
      <protection locked="0"/>
    </xf>
    <xf numFmtId="0" fontId="0" fillId="0" borderId="15" xfId="0" applyNumberFormat="1" applyFont="1" applyBorder="1" applyAlignment="1" applyProtection="1">
      <alignment horizontal="center" vertical="top" shrinkToFit="1"/>
      <protection locked="0"/>
    </xf>
    <xf numFmtId="0" fontId="0" fillId="0" borderId="0" xfId="0" applyNumberFormat="1" applyFont="1" applyBorder="1" applyAlignment="1" applyProtection="1">
      <alignment horizontal="center" vertical="top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29" xfId="0" applyNumberFormat="1" applyFon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33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15" xfId="0" applyNumberFormat="1" applyBorder="1" applyAlignment="1" applyProtection="1">
      <alignment horizontal="center" vertical="top" wrapText="1"/>
      <protection locked="0"/>
    </xf>
    <xf numFmtId="0" fontId="0" fillId="0" borderId="0" xfId="0" applyNumberFormat="1" applyBorder="1" applyAlignment="1" applyProtection="1">
      <alignment horizontal="center" vertical="top" wrapText="1"/>
      <protection locked="0"/>
    </xf>
    <xf numFmtId="0" fontId="10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left" shrinkToFit="1"/>
      <protection/>
    </xf>
    <xf numFmtId="0" fontId="0" fillId="0" borderId="0" xfId="0" applyNumberFormat="1" applyBorder="1" applyAlignment="1">
      <alignment horizontal="left" wrapText="1"/>
    </xf>
    <xf numFmtId="0" fontId="18" fillId="0" borderId="10" xfId="0" applyNumberFormat="1" applyFont="1" applyBorder="1" applyAlignment="1" applyProtection="1">
      <alignment horizontal="center" vertical="center" shrinkToFit="1"/>
      <protection/>
    </xf>
    <xf numFmtId="0" fontId="3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33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 applyProtection="1">
      <alignment horizontal="left" shrinkToFit="1"/>
      <protection/>
    </xf>
    <xf numFmtId="0" fontId="3" fillId="0" borderId="0" xfId="0" applyNumberFormat="1" applyFont="1" applyAlignment="1">
      <alignment horizontal="right"/>
    </xf>
    <xf numFmtId="0" fontId="68" fillId="0" borderId="10" xfId="0" applyNumberFormat="1" applyFont="1" applyBorder="1" applyAlignment="1" applyProtection="1">
      <alignment horizontal="center" shrinkToFit="1"/>
      <protection/>
    </xf>
    <xf numFmtId="0" fontId="0" fillId="0" borderId="29" xfId="0" applyNumberFormat="1" applyFont="1" applyFill="1" applyBorder="1" applyAlignment="1" applyProtection="1">
      <alignment horizontal="center" shrinkToFit="1"/>
      <protection/>
    </xf>
    <xf numFmtId="0" fontId="0" fillId="0" borderId="31" xfId="0" applyNumberFormat="1" applyFont="1" applyFill="1" applyBorder="1" applyAlignment="1" applyProtection="1">
      <alignment horizontal="center" shrinkToFit="1"/>
      <protection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shrinkToFi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юноши рейтин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ill>
        <patternFill patternType="darkGray"/>
      </fill>
    </dxf>
    <dxf>
      <fill>
        <patternFill>
          <bgColor indexed="31"/>
        </patternFill>
      </fill>
    </dxf>
    <dxf>
      <fill>
        <patternFill patternType="darkGray"/>
      </fill>
    </dxf>
    <dxf>
      <fill>
        <patternFill>
          <bgColor indexed="31"/>
        </patternFill>
      </fill>
    </dxf>
    <dxf>
      <fill>
        <patternFill patternType="darkGray"/>
      </fill>
    </dxf>
    <dxf>
      <font>
        <b/>
        <i val="0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ill>
        <patternFill>
          <bgColor indexed="42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 patternType="solid">
          <bgColor indexed="17"/>
        </patternFill>
      </fill>
      <border>
        <left style="hair">
          <color indexed="17"/>
        </left>
        <right style="hair">
          <color indexed="17"/>
        </right>
        <top style="hair">
          <color indexed="17"/>
        </top>
        <bottom style="hair">
          <color indexed="17"/>
        </bottom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strike val="0"/>
        <color indexed="13"/>
      </font>
      <fill>
        <patternFill patternType="solid">
          <bgColor indexed="10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26"/>
      </font>
      <fill>
        <patternFill>
          <bgColor indexed="17"/>
        </patternFill>
      </fill>
    </dxf>
    <dxf>
      <font>
        <b/>
        <i val="0"/>
        <strike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rgb="FFFFFF00"/>
      </font>
      <fill>
        <patternFill patternType="solid">
          <bgColor rgb="FFFF0000"/>
        </patternFill>
      </fill>
      <border/>
    </dxf>
    <dxf>
      <font>
        <b/>
        <i val="0"/>
        <color rgb="FFFFFFCC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color rgb="FFFFFFFF"/>
      </font>
      <fill>
        <patternFill patternType="solid">
          <bgColor rgb="FF008000"/>
        </patternFill>
      </fill>
      <border>
        <left style="hair">
          <color rgb="FF008000"/>
        </left>
        <right style="hair">
          <color rgb="FFFFFFFF"/>
        </right>
        <top style="hair"/>
        <bottom style="hair">
          <color rgb="FFFFFFFF"/>
        </bottom>
      </border>
    </dxf>
    <dxf>
      <font>
        <color rgb="FFFFFFFF"/>
      </font>
      <fill>
        <patternFill>
          <bgColor rgb="FF008000"/>
        </patternFill>
      </fill>
      <border/>
    </dxf>
    <dxf>
      <font>
        <b/>
        <i val="0"/>
        <color rgb="FFFF0000"/>
      </font>
      <fill>
        <patternFill>
          <bgColor rgb="FFFFCC00"/>
        </patternFill>
      </fill>
      <border/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tennis-russia.ru/" TargetMode="External" /><Relationship Id="rId4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hyperlink" Target="http://www.rustennistur.ru/csp/rtt/RTTXEN.RatingTable.cls" TargetMode="External" /><Relationship Id="rId9" Type="http://schemas.openxmlformats.org/officeDocument/2006/relationships/hyperlink" Target="http://www.tennis-russia.ru/" TargetMode="External" /><Relationship Id="rId10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209550</xdr:rowOff>
    </xdr:from>
    <xdr:to>
      <xdr:col>8</xdr:col>
      <xdr:colOff>9525</xdr:colOff>
      <xdr:row>9</xdr:row>
      <xdr:rowOff>142875</xdr:rowOff>
    </xdr:to>
    <xdr:grpSp>
      <xdr:nvGrpSpPr>
        <xdr:cNvPr id="1" name="Group 52"/>
        <xdr:cNvGrpSpPr>
          <a:grpSpLocks/>
        </xdr:cNvGrpSpPr>
      </xdr:nvGrpSpPr>
      <xdr:grpSpPr>
        <a:xfrm>
          <a:off x="4629150" y="1943100"/>
          <a:ext cx="2428875" cy="590550"/>
          <a:chOff x="425" y="260"/>
          <a:chExt cx="225" cy="62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0</xdr:row>
      <xdr:rowOff>552450</xdr:rowOff>
    </xdr:to>
    <xdr:pic>
      <xdr:nvPicPr>
        <xdr:cNvPr id="5" name="Picture 3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66675</xdr:rowOff>
    </xdr:from>
    <xdr:to>
      <xdr:col>7</xdr:col>
      <xdr:colOff>466725</xdr:colOff>
      <xdr:row>0</xdr:row>
      <xdr:rowOff>438150</xdr:rowOff>
    </xdr:to>
    <xdr:pic>
      <xdr:nvPicPr>
        <xdr:cNvPr id="6" name="Picture 3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53125" y="66675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8</xdr:col>
      <xdr:colOff>0</xdr:colOff>
      <xdr:row>6</xdr:row>
      <xdr:rowOff>161925</xdr:rowOff>
    </xdr:to>
    <xdr:grpSp>
      <xdr:nvGrpSpPr>
        <xdr:cNvPr id="7" name="Group 53"/>
        <xdr:cNvGrpSpPr>
          <a:grpSpLocks/>
        </xdr:cNvGrpSpPr>
      </xdr:nvGrpSpPr>
      <xdr:grpSpPr>
        <a:xfrm>
          <a:off x="4619625" y="647700"/>
          <a:ext cx="2428875" cy="1247775"/>
          <a:chOff x="425" y="68"/>
          <a:chExt cx="225" cy="131"/>
        </a:xfrm>
        <a:solidFill>
          <a:srgbClr val="FFFFFF"/>
        </a:solidFill>
      </xdr:grpSpPr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523875</xdr:colOff>
      <xdr:row>3</xdr:row>
      <xdr:rowOff>57150</xdr:rowOff>
    </xdr:to>
    <xdr:pic>
      <xdr:nvPicPr>
        <xdr:cNvPr id="1" name="Picture 4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52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152400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7</xdr:row>
      <xdr:rowOff>66675</xdr:rowOff>
    </xdr:from>
    <xdr:to>
      <xdr:col>24</xdr:col>
      <xdr:colOff>104775</xdr:colOff>
      <xdr:row>11</xdr:row>
      <xdr:rowOff>47625</xdr:rowOff>
    </xdr:to>
    <xdr:grpSp>
      <xdr:nvGrpSpPr>
        <xdr:cNvPr id="3" name="Group 29"/>
        <xdr:cNvGrpSpPr>
          <a:grpSpLocks/>
        </xdr:cNvGrpSpPr>
      </xdr:nvGrpSpPr>
      <xdr:grpSpPr>
        <a:xfrm>
          <a:off x="8829675" y="1000125"/>
          <a:ext cx="3286125" cy="590550"/>
          <a:chOff x="425" y="260"/>
          <a:chExt cx="225" cy="62"/>
        </a:xfrm>
        <a:solidFill>
          <a:srgbClr val="FFFFFF"/>
        </a:solidFill>
      </xdr:grpSpPr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7</xdr:col>
      <xdr:colOff>771525</xdr:colOff>
      <xdr:row>4</xdr:row>
      <xdr:rowOff>19050</xdr:rowOff>
    </xdr:to>
    <xdr:pic>
      <xdr:nvPicPr>
        <xdr:cNvPr id="1" name="Picture 3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95250</xdr:rowOff>
    </xdr:to>
    <xdr:pic>
      <xdr:nvPicPr>
        <xdr:cNvPr id="2" name="Picture 5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5</xdr:row>
      <xdr:rowOff>0</xdr:rowOff>
    </xdr:from>
    <xdr:to>
      <xdr:col>22</xdr:col>
      <xdr:colOff>28575</xdr:colOff>
      <xdr:row>9</xdr:row>
      <xdr:rowOff>95250</xdr:rowOff>
    </xdr:to>
    <xdr:grpSp>
      <xdr:nvGrpSpPr>
        <xdr:cNvPr id="3" name="Group 39"/>
        <xdr:cNvGrpSpPr>
          <a:grpSpLocks/>
        </xdr:cNvGrpSpPr>
      </xdr:nvGrpSpPr>
      <xdr:grpSpPr>
        <a:xfrm>
          <a:off x="9982200" y="514350"/>
          <a:ext cx="2409825" cy="590550"/>
          <a:chOff x="425" y="260"/>
          <a:chExt cx="225" cy="62"/>
        </a:xfrm>
        <a:solidFill>
          <a:srgbClr val="FFFFFF"/>
        </a:solidFill>
      </xdr:grpSpPr>
    </xdr:grpSp>
    <xdr:clientData/>
  </xdr:twoCellAnchor>
  <xdr:twoCellAnchor>
    <xdr:from>
      <xdr:col>15</xdr:col>
      <xdr:colOff>19050</xdr:colOff>
      <xdr:row>2</xdr:row>
      <xdr:rowOff>152400</xdr:rowOff>
    </xdr:from>
    <xdr:to>
      <xdr:col>18</xdr:col>
      <xdr:colOff>371475</xdr:colOff>
      <xdr:row>9</xdr:row>
      <xdr:rowOff>390525</xdr:rowOff>
    </xdr:to>
    <xdr:grpSp>
      <xdr:nvGrpSpPr>
        <xdr:cNvPr id="7" name="Group 43"/>
        <xdr:cNvGrpSpPr>
          <a:grpSpLocks/>
        </xdr:cNvGrpSpPr>
      </xdr:nvGrpSpPr>
      <xdr:grpSpPr>
        <a:xfrm>
          <a:off x="7581900" y="152400"/>
          <a:ext cx="2409825" cy="1247775"/>
          <a:chOff x="425" y="68"/>
          <a:chExt cx="225" cy="131"/>
        </a:xfrm>
        <a:solidFill>
          <a:srgbClr val="FFFFFF"/>
        </a:solidFill>
      </xdr:grpSpPr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1152525</xdr:colOff>
      <xdr:row>0</xdr:row>
      <xdr:rowOff>0</xdr:rowOff>
    </xdr:from>
    <xdr:to>
      <xdr:col>5</xdr:col>
      <xdr:colOff>2095500</xdr:colOff>
      <xdr:row>0</xdr:row>
      <xdr:rowOff>323850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5" descr="FT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0</xdr:rowOff>
    </xdr:from>
    <xdr:to>
      <xdr:col>8</xdr:col>
      <xdr:colOff>1533525</xdr:colOff>
      <xdr:row>1</xdr:row>
      <xdr:rowOff>209550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238125</xdr:rowOff>
    </xdr:to>
    <xdr:pic>
      <xdr:nvPicPr>
        <xdr:cNvPr id="2" name="Picture 18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2495550</xdr:colOff>
      <xdr:row>9</xdr:row>
      <xdr:rowOff>95250</xdr:rowOff>
    </xdr:from>
    <xdr:to>
      <xdr:col>6</xdr:col>
      <xdr:colOff>438150</xdr:colOff>
      <xdr:row>9</xdr:row>
      <xdr:rowOff>523875</xdr:rowOff>
    </xdr:to>
    <xdr:grpSp>
      <xdr:nvGrpSpPr>
        <xdr:cNvPr id="1" name="Group 121"/>
        <xdr:cNvGrpSpPr>
          <a:grpSpLocks/>
        </xdr:cNvGrpSpPr>
      </xdr:nvGrpSpPr>
      <xdr:grpSpPr>
        <a:xfrm>
          <a:off x="4867275" y="1352550"/>
          <a:ext cx="1704975" cy="428625"/>
          <a:chOff x="446" y="142"/>
          <a:chExt cx="156" cy="45"/>
        </a:xfrm>
        <a:solidFill>
          <a:srgbClr val="FFFFFF"/>
        </a:solidFill>
      </xdr:grpSpPr>
    </xdr:grpSp>
    <xdr:clientData/>
  </xdr:twoCellAnchor>
  <xdr:twoCellAnchor>
    <xdr:from>
      <xdr:col>22</xdr:col>
      <xdr:colOff>295275</xdr:colOff>
      <xdr:row>9</xdr:row>
      <xdr:rowOff>152400</xdr:rowOff>
    </xdr:from>
    <xdr:to>
      <xdr:col>25</xdr:col>
      <xdr:colOff>647700</xdr:colOff>
      <xdr:row>10</xdr:row>
      <xdr:rowOff>390525</xdr:rowOff>
    </xdr:to>
    <xdr:grpSp>
      <xdr:nvGrpSpPr>
        <xdr:cNvPr id="4" name="Group 106"/>
        <xdr:cNvGrpSpPr>
          <a:grpSpLocks/>
        </xdr:cNvGrpSpPr>
      </xdr:nvGrpSpPr>
      <xdr:grpSpPr>
        <a:xfrm>
          <a:off x="12753975" y="1409700"/>
          <a:ext cx="2438400" cy="771525"/>
          <a:chOff x="425" y="260"/>
          <a:chExt cx="225" cy="62"/>
        </a:xfrm>
        <a:solidFill>
          <a:srgbClr val="FFFFFF"/>
        </a:solidFill>
      </xdr:grpSpPr>
    </xdr:grpSp>
    <xdr:clientData/>
  </xdr:twoCellAnchor>
  <xdr:twoCellAnchor>
    <xdr:from>
      <xdr:col>22</xdr:col>
      <xdr:colOff>285750</xdr:colOff>
      <xdr:row>0</xdr:row>
      <xdr:rowOff>114300</xdr:rowOff>
    </xdr:from>
    <xdr:to>
      <xdr:col>25</xdr:col>
      <xdr:colOff>638175</xdr:colOff>
      <xdr:row>9</xdr:row>
      <xdr:rowOff>104775</xdr:rowOff>
    </xdr:to>
    <xdr:grpSp>
      <xdr:nvGrpSpPr>
        <xdr:cNvPr id="8" name="Group 110"/>
        <xdr:cNvGrpSpPr>
          <a:grpSpLocks/>
        </xdr:cNvGrpSpPr>
      </xdr:nvGrpSpPr>
      <xdr:grpSpPr>
        <a:xfrm>
          <a:off x="12744450" y="114300"/>
          <a:ext cx="2438400" cy="1247775"/>
          <a:chOff x="425" y="68"/>
          <a:chExt cx="225" cy="131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647700</xdr:colOff>
      <xdr:row>0</xdr:row>
      <xdr:rowOff>0</xdr:rowOff>
    </xdr:from>
    <xdr:to>
      <xdr:col>13</xdr:col>
      <xdr:colOff>971550</xdr:colOff>
      <xdr:row>1</xdr:row>
      <xdr:rowOff>142875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57150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9</xdr:row>
      <xdr:rowOff>142875</xdr:rowOff>
    </xdr:from>
    <xdr:to>
      <xdr:col>20</xdr:col>
      <xdr:colOff>561975</xdr:colOff>
      <xdr:row>10</xdr:row>
      <xdr:rowOff>381000</xdr:rowOff>
    </xdr:to>
    <xdr:grpSp>
      <xdr:nvGrpSpPr>
        <xdr:cNvPr id="1" name="Group 115"/>
        <xdr:cNvGrpSpPr>
          <a:grpSpLocks/>
        </xdr:cNvGrpSpPr>
      </xdr:nvGrpSpPr>
      <xdr:grpSpPr>
        <a:xfrm>
          <a:off x="12734925" y="1400175"/>
          <a:ext cx="2438400" cy="771525"/>
          <a:chOff x="425" y="260"/>
          <a:chExt cx="225" cy="62"/>
        </a:xfrm>
        <a:solidFill>
          <a:srgbClr val="FFFFFF"/>
        </a:solidFill>
      </xdr:grpSpPr>
    </xdr:grpSp>
    <xdr:clientData/>
  </xdr:twoCellAnchor>
  <xdr:twoCellAnchor>
    <xdr:from>
      <xdr:col>17</xdr:col>
      <xdr:colOff>209550</xdr:colOff>
      <xdr:row>0</xdr:row>
      <xdr:rowOff>104775</xdr:rowOff>
    </xdr:from>
    <xdr:to>
      <xdr:col>20</xdr:col>
      <xdr:colOff>561975</xdr:colOff>
      <xdr:row>9</xdr:row>
      <xdr:rowOff>95250</xdr:rowOff>
    </xdr:to>
    <xdr:grpSp>
      <xdr:nvGrpSpPr>
        <xdr:cNvPr id="5" name="Group 119"/>
        <xdr:cNvGrpSpPr>
          <a:grpSpLocks/>
        </xdr:cNvGrpSpPr>
      </xdr:nvGrpSpPr>
      <xdr:grpSpPr>
        <a:xfrm>
          <a:off x="12734925" y="104775"/>
          <a:ext cx="2438400" cy="1247775"/>
          <a:chOff x="425" y="68"/>
          <a:chExt cx="225" cy="131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647700</xdr:colOff>
      <xdr:row>0</xdr:row>
      <xdr:rowOff>0</xdr:rowOff>
    </xdr:from>
    <xdr:to>
      <xdr:col>13</xdr:col>
      <xdr:colOff>971550</xdr:colOff>
      <xdr:row>1</xdr:row>
      <xdr:rowOff>142875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0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57150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0</xdr:rowOff>
    </xdr:from>
    <xdr:to>
      <xdr:col>6</xdr:col>
      <xdr:colOff>504825</xdr:colOff>
      <xdr:row>1</xdr:row>
      <xdr:rowOff>209550</xdr:rowOff>
    </xdr:to>
    <xdr:pic>
      <xdr:nvPicPr>
        <xdr:cNvPr id="1" name="Picture 7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285750</xdr:rowOff>
    </xdr:to>
    <xdr:pic>
      <xdr:nvPicPr>
        <xdr:cNvPr id="2" name="Picture 1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333375</xdr:colOff>
      <xdr:row>5</xdr:row>
      <xdr:rowOff>371475</xdr:rowOff>
    </xdr:from>
    <xdr:to>
      <xdr:col>29</xdr:col>
      <xdr:colOff>9525</xdr:colOff>
      <xdr:row>6</xdr:row>
      <xdr:rowOff>514350</xdr:rowOff>
    </xdr:to>
    <xdr:grpSp>
      <xdr:nvGrpSpPr>
        <xdr:cNvPr id="3" name="Group 87"/>
        <xdr:cNvGrpSpPr>
          <a:grpSpLocks/>
        </xdr:cNvGrpSpPr>
      </xdr:nvGrpSpPr>
      <xdr:grpSpPr>
        <a:xfrm>
          <a:off x="11982450" y="1343025"/>
          <a:ext cx="2409825" cy="619125"/>
          <a:chOff x="425" y="260"/>
          <a:chExt cx="225" cy="62"/>
        </a:xfrm>
        <a:solidFill>
          <a:srgbClr val="FFFFFF"/>
        </a:solidFill>
      </xdr:grpSpPr>
    </xdr:grpSp>
    <xdr:clientData/>
  </xdr:twoCellAnchor>
  <xdr:twoCellAnchor>
    <xdr:from>
      <xdr:col>22</xdr:col>
      <xdr:colOff>333375</xdr:colOff>
      <xdr:row>0</xdr:row>
      <xdr:rowOff>38100</xdr:rowOff>
    </xdr:from>
    <xdr:to>
      <xdr:col>29</xdr:col>
      <xdr:colOff>19050</xdr:colOff>
      <xdr:row>5</xdr:row>
      <xdr:rowOff>314325</xdr:rowOff>
    </xdr:to>
    <xdr:grpSp>
      <xdr:nvGrpSpPr>
        <xdr:cNvPr id="7" name="Group 91"/>
        <xdr:cNvGrpSpPr>
          <a:grpSpLocks/>
        </xdr:cNvGrpSpPr>
      </xdr:nvGrpSpPr>
      <xdr:grpSpPr>
        <a:xfrm>
          <a:off x="11982450" y="38100"/>
          <a:ext cx="2409825" cy="1247775"/>
          <a:chOff x="425" y="68"/>
          <a:chExt cx="225" cy="131"/>
        </a:xfrm>
        <a:solidFill>
          <a:srgbClr val="FFFFFF"/>
        </a:solidFill>
      </xdr:grpSpPr>
    </xdr:grpSp>
    <xdr:clientData/>
  </xdr:twoCellAnchor>
  <xdr:twoCellAnchor>
    <xdr:from>
      <xdr:col>18</xdr:col>
      <xdr:colOff>371475</xdr:colOff>
      <xdr:row>1</xdr:row>
      <xdr:rowOff>152400</xdr:rowOff>
    </xdr:from>
    <xdr:to>
      <xdr:col>21</xdr:col>
      <xdr:colOff>47625</xdr:colOff>
      <xdr:row>5</xdr:row>
      <xdr:rowOff>352425</xdr:rowOff>
    </xdr:to>
    <xdr:grpSp>
      <xdr:nvGrpSpPr>
        <xdr:cNvPr id="16" name="Group 117"/>
        <xdr:cNvGrpSpPr>
          <a:grpSpLocks/>
        </xdr:cNvGrpSpPr>
      </xdr:nvGrpSpPr>
      <xdr:grpSpPr>
        <a:xfrm>
          <a:off x="8648700" y="314325"/>
          <a:ext cx="2362200" cy="1009650"/>
          <a:chOff x="793" y="33"/>
          <a:chExt cx="219" cy="106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523875</xdr:colOff>
      <xdr:row>0</xdr:row>
      <xdr:rowOff>0</xdr:rowOff>
    </xdr:from>
    <xdr:to>
      <xdr:col>23</xdr:col>
      <xdr:colOff>171450</xdr:colOff>
      <xdr:row>2</xdr:row>
      <xdr:rowOff>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485775</xdr:colOff>
      <xdr:row>0</xdr:row>
      <xdr:rowOff>57150</xdr:rowOff>
    </xdr:from>
    <xdr:to>
      <xdr:col>33</xdr:col>
      <xdr:colOff>76200</xdr:colOff>
      <xdr:row>3</xdr:row>
      <xdr:rowOff>57150</xdr:rowOff>
    </xdr:to>
    <xdr:grpSp>
      <xdr:nvGrpSpPr>
        <xdr:cNvPr id="3" name="Group 11"/>
        <xdr:cNvGrpSpPr>
          <a:grpSpLocks/>
        </xdr:cNvGrpSpPr>
      </xdr:nvGrpSpPr>
      <xdr:grpSpPr>
        <a:xfrm>
          <a:off x="9982200" y="57150"/>
          <a:ext cx="2447925" cy="590550"/>
          <a:chOff x="425" y="260"/>
          <a:chExt cx="225" cy="62"/>
        </a:xfrm>
        <a:solidFill>
          <a:srgbClr val="FFFFFF"/>
        </a:solidFill>
      </xdr:grpSpPr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0</xdr:rowOff>
    </xdr:from>
    <xdr:to>
      <xdr:col>6</xdr:col>
      <xdr:colOff>504825</xdr:colOff>
      <xdr:row>1</xdr:row>
      <xdr:rowOff>209550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285750</xdr:rowOff>
    </xdr:to>
    <xdr:pic>
      <xdr:nvPicPr>
        <xdr:cNvPr id="2" name="Picture 5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9525</xdr:rowOff>
    </xdr:from>
    <xdr:to>
      <xdr:col>7</xdr:col>
      <xdr:colOff>0</xdr:colOff>
      <xdr:row>23</xdr:row>
      <xdr:rowOff>466725</xdr:rowOff>
    </xdr:to>
    <xdr:grpSp>
      <xdr:nvGrpSpPr>
        <xdr:cNvPr id="3" name="Group 146"/>
        <xdr:cNvGrpSpPr>
          <a:grpSpLocks/>
        </xdr:cNvGrpSpPr>
      </xdr:nvGrpSpPr>
      <xdr:grpSpPr>
        <a:xfrm>
          <a:off x="0" y="1838325"/>
          <a:ext cx="7477125" cy="457200"/>
          <a:chOff x="0" y="193"/>
          <a:chExt cx="685" cy="48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32</xdr:row>
      <xdr:rowOff>9525</xdr:rowOff>
    </xdr:from>
    <xdr:to>
      <xdr:col>7</xdr:col>
      <xdr:colOff>0</xdr:colOff>
      <xdr:row>32</xdr:row>
      <xdr:rowOff>466725</xdr:rowOff>
    </xdr:to>
    <xdr:grpSp>
      <xdr:nvGrpSpPr>
        <xdr:cNvPr id="8" name="Group 147"/>
        <xdr:cNvGrpSpPr>
          <a:grpSpLocks/>
        </xdr:cNvGrpSpPr>
      </xdr:nvGrpSpPr>
      <xdr:grpSpPr>
        <a:xfrm>
          <a:off x="0" y="4448175"/>
          <a:ext cx="7477125" cy="457200"/>
          <a:chOff x="0" y="467"/>
          <a:chExt cx="685" cy="48"/>
        </a:xfrm>
        <a:solidFill>
          <a:srgbClr val="FFFFFF"/>
        </a:solidFill>
      </xdr:grpSpPr>
    </xdr:grpSp>
    <xdr:clientData/>
  </xdr:twoCellAnchor>
  <xdr:twoCellAnchor editAs="oneCell">
    <xdr:from>
      <xdr:col>5</xdr:col>
      <xdr:colOff>619125</xdr:colOff>
      <xdr:row>0</xdr:row>
      <xdr:rowOff>0</xdr:rowOff>
    </xdr:from>
    <xdr:to>
      <xdr:col>6</xdr:col>
      <xdr:colOff>504825</xdr:colOff>
      <xdr:row>1</xdr:row>
      <xdr:rowOff>209550</xdr:rowOff>
    </xdr:to>
    <xdr:pic>
      <xdr:nvPicPr>
        <xdr:cNvPr id="13" name="Picture 121" descr="RTT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295275</xdr:rowOff>
    </xdr:to>
    <xdr:pic>
      <xdr:nvPicPr>
        <xdr:cNvPr id="14" name="Picture 122" descr="FTR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304800</xdr:colOff>
      <xdr:row>1</xdr:row>
      <xdr:rowOff>38100</xdr:rowOff>
    </xdr:from>
    <xdr:to>
      <xdr:col>37</xdr:col>
      <xdr:colOff>542925</xdr:colOff>
      <xdr:row>4</xdr:row>
      <xdr:rowOff>276225</xdr:rowOff>
    </xdr:to>
    <xdr:grpSp>
      <xdr:nvGrpSpPr>
        <xdr:cNvPr id="15" name="Group 124"/>
        <xdr:cNvGrpSpPr>
          <a:grpSpLocks/>
        </xdr:cNvGrpSpPr>
      </xdr:nvGrpSpPr>
      <xdr:grpSpPr>
        <a:xfrm>
          <a:off x="10277475" y="200025"/>
          <a:ext cx="1609725" cy="1019175"/>
          <a:chOff x="425" y="260"/>
          <a:chExt cx="225" cy="62"/>
        </a:xfrm>
        <a:solidFill>
          <a:srgbClr val="FFFFFF"/>
        </a:solidFill>
      </xdr:grpSpPr>
    </xdr:grpSp>
    <xdr:clientData/>
  </xdr:twoCellAnchor>
  <xdr:twoCellAnchor>
    <xdr:from>
      <xdr:col>32</xdr:col>
      <xdr:colOff>9525</xdr:colOff>
      <xdr:row>1</xdr:row>
      <xdr:rowOff>38100</xdr:rowOff>
    </xdr:from>
    <xdr:to>
      <xdr:col>35</xdr:col>
      <xdr:colOff>314325</xdr:colOff>
      <xdr:row>4</xdr:row>
      <xdr:rowOff>276225</xdr:rowOff>
    </xdr:to>
    <xdr:grpSp>
      <xdr:nvGrpSpPr>
        <xdr:cNvPr id="19" name="Group 128"/>
        <xdr:cNvGrpSpPr>
          <a:grpSpLocks/>
        </xdr:cNvGrpSpPr>
      </xdr:nvGrpSpPr>
      <xdr:grpSpPr>
        <a:xfrm>
          <a:off x="7924800" y="200025"/>
          <a:ext cx="2362200" cy="1019175"/>
          <a:chOff x="425" y="68"/>
          <a:chExt cx="225" cy="131"/>
        </a:xfrm>
        <a:solidFill>
          <a:srgbClr val="FFFFFF"/>
        </a:solidFill>
      </xdr:grpSpPr>
    </xdr:grpSp>
    <xdr:clientData fPrintsWithSheet="0"/>
  </xdr:twoCellAnchor>
  <xdr:twoCellAnchor>
    <xdr:from>
      <xdr:col>6</xdr:col>
      <xdr:colOff>47625</xdr:colOff>
      <xdr:row>5</xdr:row>
      <xdr:rowOff>133350</xdr:rowOff>
    </xdr:from>
    <xdr:to>
      <xdr:col>6</xdr:col>
      <xdr:colOff>561975</xdr:colOff>
      <xdr:row>5</xdr:row>
      <xdr:rowOff>447675</xdr:rowOff>
    </xdr:to>
    <xdr:grpSp>
      <xdr:nvGrpSpPr>
        <xdr:cNvPr id="28" name="Group 140"/>
        <xdr:cNvGrpSpPr>
          <a:grpSpLocks/>
        </xdr:cNvGrpSpPr>
      </xdr:nvGrpSpPr>
      <xdr:grpSpPr>
        <a:xfrm>
          <a:off x="6858000" y="1428750"/>
          <a:ext cx="514350" cy="314325"/>
          <a:chOff x="1179" y="278"/>
          <a:chExt cx="47" cy="33"/>
        </a:xfrm>
        <a:solidFill>
          <a:srgbClr val="FFFFFF"/>
        </a:solidFill>
      </xdr:grpSpPr>
      <xdr:sp>
        <xdr:nvSpPr>
          <xdr:cNvPr id="29" name="Rectangle 138"/>
          <xdr:cNvSpPr>
            <a:spLocks/>
          </xdr:cNvSpPr>
        </xdr:nvSpPr>
        <xdr:spPr>
          <a:xfrm>
            <a:off x="1179" y="278"/>
            <a:ext cx="47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 fPrintsWithSheet="0"/>
  </xdr:twoCellAnchor>
  <xdr:twoCellAnchor>
    <xdr:from>
      <xdr:col>32</xdr:col>
      <xdr:colOff>0</xdr:colOff>
      <xdr:row>32</xdr:row>
      <xdr:rowOff>209550</xdr:rowOff>
    </xdr:from>
    <xdr:to>
      <xdr:col>35</xdr:col>
      <xdr:colOff>581025</xdr:colOff>
      <xdr:row>34</xdr:row>
      <xdr:rowOff>190500</xdr:rowOff>
    </xdr:to>
    <xdr:grpSp>
      <xdr:nvGrpSpPr>
        <xdr:cNvPr id="31" name="Group 144"/>
        <xdr:cNvGrpSpPr>
          <a:grpSpLocks/>
        </xdr:cNvGrpSpPr>
      </xdr:nvGrpSpPr>
      <xdr:grpSpPr>
        <a:xfrm>
          <a:off x="7915275" y="4648200"/>
          <a:ext cx="2638425" cy="723900"/>
          <a:chOff x="2803" y="973"/>
          <a:chExt cx="215" cy="76"/>
        </a:xfrm>
        <a:solidFill>
          <a:srgbClr val="FFFFFF"/>
        </a:solidFill>
      </xdr:grpSpPr>
    </xdr:grpSp>
    <xdr:clientData/>
  </xdr:twoCellAnchor>
  <xdr:twoCellAnchor>
    <xdr:from>
      <xdr:col>32</xdr:col>
      <xdr:colOff>0</xdr:colOff>
      <xdr:row>23</xdr:row>
      <xdr:rowOff>200025</xdr:rowOff>
    </xdr:from>
    <xdr:to>
      <xdr:col>35</xdr:col>
      <xdr:colOff>581025</xdr:colOff>
      <xdr:row>25</xdr:row>
      <xdr:rowOff>180975</xdr:rowOff>
    </xdr:to>
    <xdr:grpSp>
      <xdr:nvGrpSpPr>
        <xdr:cNvPr id="35" name="Group 143"/>
        <xdr:cNvGrpSpPr>
          <a:grpSpLocks/>
        </xdr:cNvGrpSpPr>
      </xdr:nvGrpSpPr>
      <xdr:grpSpPr>
        <a:xfrm>
          <a:off x="7915275" y="2028825"/>
          <a:ext cx="2638425" cy="723900"/>
          <a:chOff x="2803" y="706"/>
          <a:chExt cx="215" cy="7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49"/>
  <sheetViews>
    <sheetView showGridLines="0" showRowColHeaders="0" zoomScale="140" zoomScaleNormal="140" zoomScalePageLayoutView="0" workbookViewId="0" topLeftCell="A1">
      <pane xSplit="8" ySplit="15" topLeftCell="I65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C9" sqref="C9"/>
    </sheetView>
  </sheetViews>
  <sheetFormatPr defaultColWidth="9.00390625" defaultRowHeight="19.5" customHeight="1"/>
  <cols>
    <col min="1" max="1" width="2.125" style="289" customWidth="1"/>
    <col min="2" max="2" width="21.25390625" style="0" customWidth="1"/>
    <col min="3" max="3" width="32.375" style="0" customWidth="1"/>
    <col min="4" max="4" width="4.75390625" style="0" customWidth="1"/>
    <col min="7" max="7" width="7.625" style="0" customWidth="1"/>
    <col min="8" max="8" width="6.375" style="0" customWidth="1"/>
    <col min="9" max="9" width="5.375" style="0" customWidth="1"/>
  </cols>
  <sheetData>
    <row r="1" spans="1:4" s="31" customFormat="1" ht="50.25" customHeight="1">
      <c r="A1" s="288"/>
      <c r="B1" s="288"/>
      <c r="C1" s="290" t="s">
        <v>9</v>
      </c>
      <c r="D1" s="288"/>
    </row>
    <row r="2" spans="1:4" s="6" customFormat="1" ht="17.25" customHeight="1">
      <c r="A2" s="290"/>
      <c r="B2" s="292"/>
      <c r="C2" s="292"/>
      <c r="D2" s="292"/>
    </row>
    <row r="3" spans="1:4" s="6" customFormat="1" ht="17.25" customHeight="1">
      <c r="A3" s="291"/>
      <c r="B3" s="299" t="s">
        <v>47</v>
      </c>
      <c r="C3" s="301" t="s">
        <v>161</v>
      </c>
      <c r="D3" s="294"/>
    </row>
    <row r="4" spans="1:4" s="6" customFormat="1" ht="17.25" customHeight="1">
      <c r="A4" s="291"/>
      <c r="B4" s="300" t="s">
        <v>48</v>
      </c>
      <c r="C4" s="302" t="str">
        <f>IF(A26=0,"",INDEX(B26:B32,A26))</f>
        <v>14 лет и моложе</v>
      </c>
      <c r="D4" s="295"/>
    </row>
    <row r="5" spans="1:4" s="6" customFormat="1" ht="17.25" customHeight="1">
      <c r="A5" s="291"/>
      <c r="B5" s="299" t="s">
        <v>115</v>
      </c>
      <c r="C5" s="302" t="str">
        <f>IF(A34=0,"",INDEX(C34:C35,A34))</f>
        <v>Девушки</v>
      </c>
      <c r="D5" s="294"/>
    </row>
    <row r="6" spans="1:4" s="6" customFormat="1" ht="17.25" customHeight="1">
      <c r="A6" s="291"/>
      <c r="B6" s="300" t="s">
        <v>4</v>
      </c>
      <c r="C6" s="301" t="s">
        <v>162</v>
      </c>
      <c r="D6" s="295"/>
    </row>
    <row r="7" spans="1:4" s="6" customFormat="1" ht="17.25" customHeight="1">
      <c r="A7" s="291"/>
      <c r="B7" s="299" t="s">
        <v>0</v>
      </c>
      <c r="C7" s="301" t="s">
        <v>163</v>
      </c>
      <c r="D7" s="294"/>
    </row>
    <row r="8" spans="1:4" s="6" customFormat="1" ht="17.25" customHeight="1">
      <c r="A8" s="291"/>
      <c r="B8" s="300" t="s">
        <v>28</v>
      </c>
      <c r="C8" s="302" t="str">
        <f>CONCATENATE(C37,C46)</f>
        <v>VГ</v>
      </c>
      <c r="D8" s="295"/>
    </row>
    <row r="9" spans="1:4" s="6" customFormat="1" ht="17.25" customHeight="1">
      <c r="A9" s="291"/>
      <c r="B9" s="299" t="s">
        <v>78</v>
      </c>
      <c r="C9" s="303">
        <v>41792</v>
      </c>
      <c r="D9" s="294"/>
    </row>
    <row r="10" spans="1:4" s="6" customFormat="1" ht="17.25" customHeight="1">
      <c r="A10" s="291"/>
      <c r="B10" s="300" t="s">
        <v>49</v>
      </c>
      <c r="C10" s="303">
        <v>41791</v>
      </c>
      <c r="D10" s="295"/>
    </row>
    <row r="11" spans="1:4" s="6" customFormat="1" ht="17.25" customHeight="1">
      <c r="A11" s="291"/>
      <c r="B11" s="299" t="s">
        <v>2</v>
      </c>
      <c r="C11" s="301" t="s">
        <v>164</v>
      </c>
      <c r="D11" s="294"/>
    </row>
    <row r="12" spans="1:4" s="6" customFormat="1" ht="17.25" customHeight="1">
      <c r="A12" s="291"/>
      <c r="B12" s="300" t="s">
        <v>7</v>
      </c>
      <c r="C12" s="301" t="s">
        <v>165</v>
      </c>
      <c r="D12" s="295"/>
    </row>
    <row r="13" spans="1:4" s="6" customFormat="1" ht="17.25" customHeight="1">
      <c r="A13" s="291"/>
      <c r="B13" s="293"/>
      <c r="C13" s="293"/>
      <c r="D13" s="294"/>
    </row>
    <row r="14" spans="2:4" ht="19.5" customHeight="1">
      <c r="B14" s="393" t="s">
        <v>146</v>
      </c>
      <c r="C14" s="394">
        <v>1000</v>
      </c>
      <c r="D14" s="295"/>
    </row>
    <row r="15" spans="2:4" ht="19.5" customHeight="1">
      <c r="B15" s="293"/>
      <c r="C15" s="293"/>
      <c r="D15" s="294"/>
    </row>
    <row r="17" spans="2:3" ht="33.75" customHeight="1" hidden="1">
      <c r="B17" t="s">
        <v>153</v>
      </c>
      <c r="C17" s="305">
        <v>16</v>
      </c>
    </row>
    <row r="18" spans="2:3" ht="19.5" customHeight="1" hidden="1">
      <c r="B18" t="s">
        <v>154</v>
      </c>
      <c r="C18" s="305">
        <v>0</v>
      </c>
    </row>
    <row r="19" ht="19.5" customHeight="1" hidden="1"/>
    <row r="20" ht="19.5" customHeight="1" hidden="1"/>
    <row r="21" spans="1:2" ht="19.5" customHeight="1" hidden="1">
      <c r="A21" s="289">
        <f>IF(ОТ!C8&gt;3,1,0)</f>
        <v>1</v>
      </c>
      <c r="B21" t="s">
        <v>116</v>
      </c>
    </row>
    <row r="22" ht="19.5" customHeight="1" hidden="1">
      <c r="B22" t="s">
        <v>117</v>
      </c>
    </row>
    <row r="23" spans="1:2" ht="19.5" customHeight="1" hidden="1">
      <c r="A23" s="289">
        <f>SUM(A20:A22)</f>
        <v>1</v>
      </c>
      <c r="B23" t="s">
        <v>118</v>
      </c>
    </row>
    <row r="24" ht="19.5" customHeight="1" hidden="1"/>
    <row r="25" spans="1:4" ht="19.5" customHeight="1" hidden="1">
      <c r="A25" s="296"/>
      <c r="B25" s="297"/>
      <c r="C25" s="305" t="str">
        <f>IF(A26=0,"",INDEX(C26:C32,A26))</f>
        <v>14</v>
      </c>
      <c r="D25" s="306" t="str">
        <f>CONCATENATE(LEFT(C5,1),C25)</f>
        <v>Д14</v>
      </c>
    </row>
    <row r="26" spans="1:4" ht="19.5" customHeight="1" hidden="1">
      <c r="A26" s="298">
        <v>3</v>
      </c>
      <c r="B26" t="s">
        <v>93</v>
      </c>
      <c r="C26" s="304" t="s">
        <v>110</v>
      </c>
      <c r="D26" s="507" t="b">
        <v>0</v>
      </c>
    </row>
    <row r="27" spans="2:3" ht="19.5" customHeight="1" hidden="1">
      <c r="B27" t="str">
        <f>IF(D26,"до 13 лет","12 лет и моложе")</f>
        <v>12 лет и моложе</v>
      </c>
      <c r="C27" s="304" t="s">
        <v>111</v>
      </c>
    </row>
    <row r="28" spans="2:3" ht="19.5" customHeight="1" hidden="1">
      <c r="B28" t="str">
        <f>IF(D26,"до 15 лет","14 лет и моложе")</f>
        <v>14 лет и моложе</v>
      </c>
      <c r="C28" s="304" t="s">
        <v>112</v>
      </c>
    </row>
    <row r="29" spans="2:3" ht="19.5" customHeight="1" hidden="1">
      <c r="B29" t="str">
        <f>IF(D26,"до 17 лет","16 лет и моложе")</f>
        <v>16 лет и моложе</v>
      </c>
      <c r="C29" s="304" t="s">
        <v>113</v>
      </c>
    </row>
    <row r="30" spans="2:3" ht="19.5" customHeight="1" hidden="1">
      <c r="B30" t="str">
        <f>IF(D26,"до 19 лет","18 лет и моложе")</f>
        <v>18 лет и моложе</v>
      </c>
      <c r="C30" s="304" t="s">
        <v>114</v>
      </c>
    </row>
    <row r="31" spans="2:3" ht="19.5" customHeight="1" hidden="1">
      <c r="B31" t="s">
        <v>94</v>
      </c>
      <c r="C31" s="304" t="s">
        <v>6</v>
      </c>
    </row>
    <row r="32" spans="2:3" ht="19.5" customHeight="1" hidden="1">
      <c r="B32" t="s">
        <v>95</v>
      </c>
      <c r="C32" s="304" t="s">
        <v>6</v>
      </c>
    </row>
    <row r="33" ht="19.5" customHeight="1" hidden="1"/>
    <row r="34" spans="1:3" ht="19.5" customHeight="1" hidden="1">
      <c r="A34" s="298">
        <v>2</v>
      </c>
      <c r="B34" t="s">
        <v>96</v>
      </c>
      <c r="C34" t="str">
        <f>IF(A26&gt;5,"Мужчины","Юноши")</f>
        <v>Юноши</v>
      </c>
    </row>
    <row r="35" spans="2:3" ht="19.5" customHeight="1" hidden="1">
      <c r="B35" t="s">
        <v>97</v>
      </c>
      <c r="C35" t="str">
        <f>IF(A26&gt;5,"Женщины","Девушки")</f>
        <v>Девушки</v>
      </c>
    </row>
    <row r="36" ht="19.5" customHeight="1" hidden="1"/>
    <row r="37" spans="1:3" ht="19.5" customHeight="1" hidden="1">
      <c r="A37" s="298">
        <v>7</v>
      </c>
      <c r="B37" t="s">
        <v>98</v>
      </c>
      <c r="C37" t="str">
        <f>IF(A37=0,"",INDEX(B37:B44,A37))</f>
        <v>V</v>
      </c>
    </row>
    <row r="38" ht="19.5" customHeight="1" hidden="1">
      <c r="B38" t="s">
        <v>99</v>
      </c>
    </row>
    <row r="39" ht="19.5" customHeight="1" hidden="1">
      <c r="B39" t="s">
        <v>100</v>
      </c>
    </row>
    <row r="40" ht="19.5" customHeight="1" hidden="1">
      <c r="B40" t="s">
        <v>101</v>
      </c>
    </row>
    <row r="41" ht="19.5" customHeight="1" hidden="1">
      <c r="B41" t="s">
        <v>102</v>
      </c>
    </row>
    <row r="42" ht="19.5" customHeight="1" hidden="1">
      <c r="B42" t="s">
        <v>103</v>
      </c>
    </row>
    <row r="43" ht="19.5" customHeight="1" hidden="1">
      <c r="B43" t="s">
        <v>104</v>
      </c>
    </row>
    <row r="44" ht="19.5" customHeight="1" hidden="1">
      <c r="B44" t="s">
        <v>105</v>
      </c>
    </row>
    <row r="45" ht="19.5" customHeight="1" hidden="1"/>
    <row r="46" spans="1:3" ht="19.5" customHeight="1" hidden="1">
      <c r="A46" s="298">
        <v>4</v>
      </c>
      <c r="B46" s="26" t="s">
        <v>106</v>
      </c>
      <c r="C46" t="str">
        <f>IF(OR(A46=0,A37&lt;3,A37=8),"",INDEX(B46:B49,A46))</f>
        <v>Г</v>
      </c>
    </row>
    <row r="47" ht="19.5" customHeight="1" hidden="1">
      <c r="B47" s="26" t="s">
        <v>107</v>
      </c>
    </row>
    <row r="48" ht="19.5" customHeight="1" hidden="1">
      <c r="B48" s="26" t="s">
        <v>108</v>
      </c>
    </row>
    <row r="49" ht="19.5" customHeight="1" hidden="1">
      <c r="B49" s="26" t="s">
        <v>109</v>
      </c>
    </row>
    <row r="50" ht="12.75"/>
  </sheetData>
  <sheetProtection password="81FF" sheet="1" objects="1" scenarios="1" selectLockedCells="1"/>
  <printOptions/>
  <pageMargins left="0.75" right="0.75" top="1" bottom="1" header="0.5" footer="0.5"/>
  <pageSetup fitToHeight="5" fitToWidth="1" horizontalDpi="600" verticalDpi="600" orientation="landscape" paperSize="9" r:id="rId3"/>
  <ignoredErrors>
    <ignoredError sqref="C26 C27:C30" numberStoredAsText="1"/>
  </ignoredError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338"/>
  <sheetViews>
    <sheetView showGridLines="0" showRowColHeaders="0" zoomScalePageLayoutView="0" workbookViewId="0" topLeftCell="A1">
      <pane ySplit="12" topLeftCell="A13" activePane="bottomLeft" state="frozen"/>
      <selection pane="topLeft" activeCell="A5" sqref="A5:R5"/>
      <selection pane="bottomLeft" activeCell="A15" sqref="A15:A16"/>
    </sheetView>
  </sheetViews>
  <sheetFormatPr defaultColWidth="7.125" defaultRowHeight="12" customHeight="1"/>
  <cols>
    <col min="1" max="1" width="4.75390625" style="14" customWidth="1"/>
    <col min="2" max="2" width="1.75390625" style="14" customWidth="1"/>
    <col min="3" max="3" width="12.75390625" style="20" customWidth="1"/>
    <col min="4" max="4" width="4.75390625" style="20" customWidth="1"/>
    <col min="5" max="5" width="1.75390625" style="20" customWidth="1"/>
    <col min="6" max="6" width="12.75390625" style="20" customWidth="1"/>
    <col min="7" max="7" width="4.75390625" style="14" customWidth="1"/>
    <col min="8" max="8" width="1.75390625" style="14" customWidth="1"/>
    <col min="9" max="9" width="12.75390625" style="14" customWidth="1"/>
    <col min="10" max="10" width="4.75390625" style="19" customWidth="1"/>
    <col min="11" max="11" width="1.75390625" style="19" customWidth="1"/>
    <col min="12" max="12" width="10.625" style="14" customWidth="1"/>
    <col min="13" max="13" width="7.25390625" style="14" customWidth="1"/>
    <col min="14" max="14" width="1.75390625" style="14" customWidth="1"/>
    <col min="15" max="15" width="7.125" style="14" customWidth="1"/>
    <col min="16" max="16" width="8.625" style="14" customWidth="1"/>
    <col min="17" max="17" width="6.00390625" style="14" customWidth="1"/>
    <col min="18" max="18" width="5.25390625" style="14" customWidth="1"/>
    <col min="19" max="23" width="7.125" style="14" customWidth="1"/>
    <col min="24" max="24" width="11.125" style="14" customWidth="1"/>
    <col min="25" max="16384" width="7.125" style="14" customWidth="1"/>
  </cols>
  <sheetData>
    <row r="1" spans="3:18" ht="15" customHeight="1"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</row>
    <row r="2" spans="3:18" ht="11.25" customHeight="1">
      <c r="C2" s="744" t="s">
        <v>24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</row>
    <row r="3" spans="3:18" ht="10.5" customHeight="1">
      <c r="C3" s="744" t="s">
        <v>149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62"/>
      <c r="R3" s="58"/>
    </row>
    <row r="4" spans="7:18" ht="6" customHeight="1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3:18" s="15" customFormat="1" ht="14.25" customHeight="1">
      <c r="C5" s="747" t="str">
        <f>UPPER(Установка!C3)</f>
        <v>ТВД-ЛЕТНЕЕ ПЕРВЕНСТВО Г.КАЗАНИ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</row>
    <row r="6" spans="3:18" s="15" customFormat="1" ht="11.25" customHeight="1">
      <c r="C6" s="748" t="s">
        <v>3</v>
      </c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</row>
    <row r="7" spans="3:18" s="15" customFormat="1" ht="5.25" customHeight="1">
      <c r="C7" s="81"/>
      <c r="D7" s="81"/>
      <c r="E7" s="81"/>
      <c r="F7" s="8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3:18" s="15" customFormat="1" ht="11.25" customHeight="1">
      <c r="C8" s="754" t="str">
        <f>CONCATENATE("для проигравших в",ПодгДТ!C54,)</f>
        <v>для проигравших в 1/8, 1/4 финала</v>
      </c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</row>
    <row r="9" spans="3:18" s="15" customFormat="1" ht="6" customHeight="1">
      <c r="C9" s="81"/>
      <c r="D9" s="81"/>
      <c r="E9" s="81"/>
      <c r="F9" s="8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3:24" s="100" customFormat="1" ht="19.5" customHeight="1">
      <c r="C10" s="97"/>
      <c r="D10" s="97"/>
      <c r="E10" s="97"/>
      <c r="F10" s="97"/>
      <c r="G10" s="98" t="s">
        <v>1</v>
      </c>
      <c r="H10" s="98"/>
      <c r="I10" s="98"/>
      <c r="J10" s="757" t="str">
        <f>UPPER(Установка!C4)</f>
        <v>14 ЛЕТ И МОЛОЖЕ</v>
      </c>
      <c r="K10" s="757"/>
      <c r="L10" s="757"/>
      <c r="M10" s="757"/>
      <c r="N10" s="99"/>
      <c r="O10" s="99"/>
      <c r="P10" s="99"/>
      <c r="R10" s="551" t="str">
        <f>IF(Установка!$C$5="","Ю/Д/М/Ж",UPPER(Установка!$C$5))</f>
        <v>ДЕВУШКИ</v>
      </c>
      <c r="X10" s="506"/>
    </row>
    <row r="11" spans="10:18" ht="11.25" customHeight="1">
      <c r="J11" s="18"/>
      <c r="K11" s="18"/>
      <c r="L11" s="19"/>
      <c r="M11" s="19"/>
      <c r="N11" s="19"/>
      <c r="O11" s="19"/>
      <c r="P11" s="18"/>
      <c r="R11" s="50"/>
    </row>
    <row r="12" spans="3:18" s="96" customFormat="1" ht="13.5" customHeight="1">
      <c r="C12" s="755" t="s">
        <v>4</v>
      </c>
      <c r="D12" s="755"/>
      <c r="E12" s="93"/>
      <c r="F12" s="703" t="str">
        <f>UPPER(Установка!C6)</f>
        <v>Г.КАЗАНЬ</v>
      </c>
      <c r="G12" s="703"/>
      <c r="H12" s="94"/>
      <c r="I12" s="756" t="s">
        <v>0</v>
      </c>
      <c r="J12" s="756"/>
      <c r="K12" s="49"/>
      <c r="L12" s="703" t="str">
        <f>UPPER(Установка!C7)</f>
        <v>06.06-08.06.2014</v>
      </c>
      <c r="M12" s="703"/>
      <c r="N12" s="95"/>
      <c r="O12" s="756" t="s">
        <v>28</v>
      </c>
      <c r="P12" s="756"/>
      <c r="Q12" s="703" t="str">
        <f>UPPER(Установка!C8)</f>
        <v>VГ</v>
      </c>
      <c r="R12" s="703"/>
    </row>
    <row r="13" spans="3:18" s="15" customFormat="1" ht="9" customHeight="1" hidden="1">
      <c r="C13" s="753" t="s">
        <v>151</v>
      </c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3"/>
      <c r="Q13" s="753"/>
      <c r="R13" s="753"/>
    </row>
    <row r="14" spans="3:18" ht="9" customHeight="1" hidden="1">
      <c r="C14" s="753"/>
      <c r="D14" s="753"/>
      <c r="E14" s="753"/>
      <c r="F14" s="753"/>
      <c r="G14" s="753"/>
      <c r="H14" s="753"/>
      <c r="I14" s="753"/>
      <c r="J14" s="753"/>
      <c r="K14" s="753"/>
      <c r="L14" s="753"/>
      <c r="M14" s="753"/>
      <c r="N14" s="753"/>
      <c r="O14" s="753"/>
      <c r="P14" s="753"/>
      <c r="Q14" s="753"/>
      <c r="R14" s="753"/>
    </row>
    <row r="15" spans="1:18" ht="9" customHeight="1" hidden="1">
      <c r="A15" s="698"/>
      <c r="C15" s="712">
        <f>IF($A15="","",IF(OR($A15="Х",$A15="X"),"Х",INDEX(ПодгДТ!$S$8:$S$23,$A15)))</f>
      </c>
      <c r="D15" s="701">
        <f>IF($A15="","",IF(OR($A15="Х",$A15="X"),"",INDEX(ПодгДТ!$O$8:$O$23,$A15)))</f>
      </c>
      <c r="E15" s="52"/>
      <c r="F15" s="5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s="15" customFormat="1" ht="9" customHeight="1" hidden="1">
      <c r="A16" s="698"/>
      <c r="C16" s="712"/>
      <c r="D16" s="703"/>
      <c r="E16" s="701">
        <f>IF(E18=3,"Х",IF(E18=0,"",IF(E18=1,C15,C17)))</f>
      </c>
      <c r="F16" s="701"/>
      <c r="G16" s="701"/>
      <c r="H16" s="52"/>
      <c r="I16" s="52"/>
      <c r="J16" s="64"/>
      <c r="K16" s="64"/>
      <c r="L16" s="65"/>
      <c r="M16" s="65"/>
      <c r="N16" s="65"/>
      <c r="O16" s="64"/>
      <c r="P16" s="64"/>
      <c r="Q16" s="64"/>
      <c r="R16" s="59"/>
    </row>
    <row r="17" spans="1:18" s="15" customFormat="1" ht="9" customHeight="1" hidden="1">
      <c r="A17" s="698"/>
      <c r="C17" s="745">
        <f>IF($A17="","",IF(OR($A17="Х",$A17="X"),"Х",INDEX(ПодгДТ!$S$8:$S$23,$A17)))</f>
      </c>
      <c r="D17" s="727">
        <f>IF($A17="","",IF(OR($A17="Х",$A17="X"),"",INDEX(ПодгДТ!$O$8:$O$23,$A17)))</f>
      </c>
      <c r="E17" s="703"/>
      <c r="F17" s="703"/>
      <c r="G17" s="703"/>
      <c r="H17" s="52"/>
      <c r="I17" s="52"/>
      <c r="J17" s="64"/>
      <c r="K17" s="64"/>
      <c r="L17" s="65"/>
      <c r="M17" s="65"/>
      <c r="N17" s="65"/>
      <c r="O17" s="65"/>
      <c r="P17" s="65"/>
      <c r="Q17" s="64"/>
      <c r="R17" s="59"/>
    </row>
    <row r="18" spans="1:18" s="15" customFormat="1" ht="9" customHeight="1" hidden="1">
      <c r="A18" s="698"/>
      <c r="C18" s="713"/>
      <c r="D18" s="728"/>
      <c r="E18" s="106"/>
      <c r="F18" s="708"/>
      <c r="G18" s="708"/>
      <c r="H18" s="749">
        <f>IF(H20=3,"Х",IF(H20=0,"",IF(H20=1,E16,E20)))</f>
      </c>
      <c r="I18" s="750"/>
      <c r="J18" s="750"/>
      <c r="K18" s="267"/>
      <c r="L18" s="65"/>
      <c r="M18" s="65"/>
      <c r="N18" s="65"/>
      <c r="O18" s="65"/>
      <c r="P18" s="65"/>
      <c r="Q18" s="64"/>
      <c r="R18" s="59"/>
    </row>
    <row r="19" spans="1:18" s="15" customFormat="1" ht="9" customHeight="1" hidden="1">
      <c r="A19" s="698"/>
      <c r="C19" s="712">
        <f>IF($A19="","",IF(OR($A19="Х",$A19="X"),"Х",INDEX(ПодгДТ!$S$8:$S$23,$A19)))</f>
      </c>
      <c r="D19" s="701">
        <f>IF($A19="","",IF(OR($A19="Х",$A19="X"),"",INDEX(ПодгДТ!$O$8:$O$23,$A19)))</f>
      </c>
      <c r="E19" s="83"/>
      <c r="F19" s="710"/>
      <c r="G19" s="710"/>
      <c r="H19" s="751"/>
      <c r="I19" s="752"/>
      <c r="J19" s="752"/>
      <c r="K19" s="267"/>
      <c r="L19" s="64"/>
      <c r="M19" s="65"/>
      <c r="N19" s="65"/>
      <c r="O19" s="64"/>
      <c r="P19" s="66"/>
      <c r="Q19" s="67"/>
      <c r="R19" s="59"/>
    </row>
    <row r="20" spans="1:18" s="15" customFormat="1" ht="9" customHeight="1" hidden="1">
      <c r="A20" s="698"/>
      <c r="C20" s="712"/>
      <c r="D20" s="703"/>
      <c r="E20" s="701">
        <f>IF(E22=3,"Х",IF(E22=0,"",IF(E22=1,C19,C21)))</f>
      </c>
      <c r="F20" s="701"/>
      <c r="G20" s="701"/>
      <c r="H20" s="103"/>
      <c r="I20" s="708"/>
      <c r="J20" s="709"/>
      <c r="K20" s="86"/>
      <c r="L20" s="64"/>
      <c r="M20" s="65"/>
      <c r="N20" s="65"/>
      <c r="O20" s="64"/>
      <c r="P20" s="66"/>
      <c r="Q20" s="67"/>
      <c r="R20" s="59"/>
    </row>
    <row r="21" spans="1:18" s="15" customFormat="1" ht="9" customHeight="1" hidden="1">
      <c r="A21" s="698"/>
      <c r="C21" s="745">
        <f>IF($A21="","",IF(OR($A21="Х",$A21="X"),"Х",INDEX(ПодгДТ!$S$8:$S$23,$A21)))</f>
      </c>
      <c r="D21" s="727">
        <f>IF($A21="","",IF(OR($A21="Х",$A21="X"),"",INDEX(ПодгДТ!$O$8:$O$23,$A21)))</f>
      </c>
      <c r="E21" s="703"/>
      <c r="F21" s="703"/>
      <c r="G21" s="703"/>
      <c r="H21" s="53"/>
      <c r="I21" s="710"/>
      <c r="J21" s="711"/>
      <c r="K21" s="86"/>
      <c r="L21" s="65"/>
      <c r="M21" s="65"/>
      <c r="N21" s="65"/>
      <c r="O21" s="64"/>
      <c r="P21" s="66"/>
      <c r="Q21" s="67"/>
      <c r="R21" s="59"/>
    </row>
    <row r="22" spans="1:18" s="15" customFormat="1" ht="9" customHeight="1" hidden="1">
      <c r="A22" s="698"/>
      <c r="C22" s="713"/>
      <c r="D22" s="728"/>
      <c r="E22" s="106"/>
      <c r="F22" s="708"/>
      <c r="G22" s="708"/>
      <c r="H22" s="267"/>
      <c r="I22" s="267"/>
      <c r="J22" s="65"/>
      <c r="K22" s="714">
        <f>IF(K24=3,"Х",IF(K24=0,"",IF(K24=1,H18,H26)))</f>
      </c>
      <c r="L22" s="715"/>
      <c r="M22" s="715"/>
      <c r="N22" s="88"/>
      <c r="O22" s="64"/>
      <c r="P22" s="66"/>
      <c r="Q22" s="67"/>
      <c r="R22" s="59"/>
    </row>
    <row r="23" spans="1:18" s="15" customFormat="1" ht="9" customHeight="1" hidden="1">
      <c r="A23" s="698"/>
      <c r="C23" s="712">
        <f>IF($A23="","",IF(OR($A23="Х",$A23="X"),"Х",INDEX(ПодгДТ!$S$8:$S$23,$A23)))</f>
      </c>
      <c r="D23" s="701">
        <f>IF($A23="","",IF(OR($A23="Х",$A23="X"),"",INDEX(ПодгДТ!$O$8:$O$23,$A23)))</f>
      </c>
      <c r="E23" s="83"/>
      <c r="F23" s="710"/>
      <c r="G23" s="710"/>
      <c r="H23" s="267"/>
      <c r="I23" s="267"/>
      <c r="J23" s="64"/>
      <c r="K23" s="716"/>
      <c r="L23" s="717"/>
      <c r="M23" s="717"/>
      <c r="N23" s="88"/>
      <c r="O23" s="64"/>
      <c r="P23" s="66"/>
      <c r="Q23" s="64"/>
      <c r="R23" s="59"/>
    </row>
    <row r="24" spans="1:18" s="15" customFormat="1" ht="9" customHeight="1" hidden="1">
      <c r="A24" s="698"/>
      <c r="C24" s="712"/>
      <c r="D24" s="703"/>
      <c r="E24" s="701">
        <f>IF(E26=3,"Х",IF(E26=0,"",IF(E26=1,C23,C25)))</f>
      </c>
      <c r="F24" s="701"/>
      <c r="G24" s="701"/>
      <c r="H24" s="52"/>
      <c r="I24" s="52"/>
      <c r="J24" s="64"/>
      <c r="K24" s="287"/>
      <c r="L24" s="741"/>
      <c r="M24" s="741"/>
      <c r="N24" s="270"/>
      <c r="O24" s="64"/>
      <c r="P24" s="66"/>
      <c r="Q24" s="65"/>
      <c r="R24" s="59"/>
    </row>
    <row r="25" spans="1:18" s="15" customFormat="1" ht="9" customHeight="1" hidden="1">
      <c r="A25" s="698"/>
      <c r="C25" s="745">
        <f>IF($A25="","",IF(OR($A25="Х",$A25="X"),"Х",INDEX(ПодгДТ!$S$8:$S$23,$A25)))</f>
      </c>
      <c r="D25" s="727">
        <f>IF($A25="","",IF(OR($A25="Х",$A25="X"),"",INDEX(ПодгДТ!$O$8:$O$23,$A25)))</f>
      </c>
      <c r="E25" s="703"/>
      <c r="F25" s="703"/>
      <c r="G25" s="703"/>
      <c r="H25" s="52"/>
      <c r="I25" s="52"/>
      <c r="J25" s="65"/>
      <c r="K25" s="69"/>
      <c r="L25" s="742"/>
      <c r="M25" s="742"/>
      <c r="N25" s="270"/>
      <c r="O25" s="64"/>
      <c r="P25" s="66"/>
      <c r="Q25" s="65"/>
      <c r="R25" s="59"/>
    </row>
    <row r="26" spans="1:18" s="15" customFormat="1" ht="9" customHeight="1" hidden="1">
      <c r="A26" s="698"/>
      <c r="C26" s="713"/>
      <c r="D26" s="728"/>
      <c r="E26" s="106"/>
      <c r="F26" s="708"/>
      <c r="G26" s="709"/>
      <c r="H26" s="749">
        <f>IF(H28=3,"Х",IF(H28=0,"",IF(H28=1,E24,E28)))</f>
      </c>
      <c r="I26" s="750"/>
      <c r="J26" s="758"/>
      <c r="K26" s="281"/>
      <c r="L26" s="64"/>
      <c r="M26" s="65"/>
      <c r="N26" s="69"/>
      <c r="O26" s="64"/>
      <c r="P26" s="66"/>
      <c r="Q26" s="65"/>
      <c r="R26" s="70"/>
    </row>
    <row r="27" spans="1:18" s="15" customFormat="1" ht="9" customHeight="1" hidden="1">
      <c r="A27" s="698"/>
      <c r="C27" s="712">
        <f>IF($A27="","",IF(OR($A27="Х",$A27="X"),"Х",INDEX(ПодгДТ!$S$8:$S$23,$A27)))</f>
      </c>
      <c r="D27" s="701">
        <f>IF($A27="","",IF(OR($A27="Х",$A27="X"),"",INDEX(ПодгДТ!$O$8:$O$23,$A27)))</f>
      </c>
      <c r="E27" s="83"/>
      <c r="F27" s="710"/>
      <c r="G27" s="711"/>
      <c r="H27" s="751"/>
      <c r="I27" s="752"/>
      <c r="J27" s="759"/>
      <c r="K27" s="281"/>
      <c r="L27" s="64"/>
      <c r="M27" s="65"/>
      <c r="N27" s="69"/>
      <c r="O27" s="64"/>
      <c r="P27" s="66"/>
      <c r="Q27" s="65"/>
      <c r="R27" s="71"/>
    </row>
    <row r="28" spans="1:18" s="15" customFormat="1" ht="9" customHeight="1" hidden="1">
      <c r="A28" s="698"/>
      <c r="C28" s="712"/>
      <c r="D28" s="703"/>
      <c r="E28" s="701">
        <f>IF(E30=3,"Х",IF(E30=0,"",IF(E30=1,C27,C29)))</f>
      </c>
      <c r="F28" s="701"/>
      <c r="G28" s="701"/>
      <c r="H28" s="103"/>
      <c r="I28" s="708"/>
      <c r="J28" s="708"/>
      <c r="K28" s="85"/>
      <c r="L28" s="64"/>
      <c r="M28" s="65"/>
      <c r="N28" s="69"/>
      <c r="O28" s="64"/>
      <c r="P28" s="66"/>
      <c r="Q28" s="65"/>
      <c r="R28" s="71"/>
    </row>
    <row r="29" spans="1:18" s="15" customFormat="1" ht="9" customHeight="1" hidden="1">
      <c r="A29" s="698"/>
      <c r="C29" s="745">
        <f>IF($A29="","",IF(OR($A29="Х",$A29="X"),"Х",INDEX(ПодгДТ!$S$8:$S$23,$A29)))</f>
      </c>
      <c r="D29" s="727">
        <f>IF($A29="","",IF(OR($A29="Х",$A29="X"),"",INDEX(ПодгДТ!$O$8:$O$23,$A29)))</f>
      </c>
      <c r="E29" s="703"/>
      <c r="F29" s="703"/>
      <c r="G29" s="703"/>
      <c r="H29" s="53"/>
      <c r="I29" s="710"/>
      <c r="J29" s="710"/>
      <c r="K29" s="85"/>
      <c r="L29" s="64"/>
      <c r="M29" s="65"/>
      <c r="N29" s="69"/>
      <c r="O29" s="64"/>
      <c r="P29" s="66"/>
      <c r="Q29" s="65"/>
      <c r="R29" s="66"/>
    </row>
    <row r="30" spans="1:18" s="15" customFormat="1" ht="9" customHeight="1" hidden="1">
      <c r="A30" s="698"/>
      <c r="C30" s="713"/>
      <c r="D30" s="728"/>
      <c r="E30" s="106"/>
      <c r="F30" s="708"/>
      <c r="G30" s="708"/>
      <c r="H30" s="267"/>
      <c r="I30" s="267"/>
      <c r="J30" s="65"/>
      <c r="K30" s="65"/>
      <c r="L30" s="64"/>
      <c r="M30" s="64"/>
      <c r="N30" s="735">
        <f>IF(N32=3,"Х",IF(N32=0,"",IF(N32=1,K22,K38)))</f>
      </c>
      <c r="O30" s="736"/>
      <c r="P30" s="736"/>
      <c r="Q30" s="67"/>
      <c r="R30" s="66"/>
    </row>
    <row r="31" spans="1:18" s="15" customFormat="1" ht="9" customHeight="1" hidden="1">
      <c r="A31" s="698"/>
      <c r="C31" s="712">
        <f>IF($A31="","",IF(OR($A31="Х",$A31="X"),"Х",INDEX(ПодгДТ!$S$8:$S$23,$A31)))</f>
      </c>
      <c r="D31" s="701">
        <f>IF($A31="","",IF(OR($A31="Х",$A31="X"),"",INDEX(ПодгДТ!$O$8:$O$23,$A31)))</f>
      </c>
      <c r="E31" s="83"/>
      <c r="F31" s="710"/>
      <c r="G31" s="710"/>
      <c r="H31" s="267"/>
      <c r="I31" s="267"/>
      <c r="J31" s="64"/>
      <c r="K31" s="64"/>
      <c r="L31" s="64"/>
      <c r="M31" s="64"/>
      <c r="N31" s="737"/>
      <c r="O31" s="738"/>
      <c r="P31" s="738"/>
      <c r="Q31" s="746"/>
      <c r="R31" s="66"/>
    </row>
    <row r="32" spans="1:18" s="15" customFormat="1" ht="9" customHeight="1" hidden="1">
      <c r="A32" s="698"/>
      <c r="C32" s="712"/>
      <c r="D32" s="703"/>
      <c r="E32" s="701">
        <f>IF(E34=3,"Х",IF(E34=0,"",IF(E34=1,C31,C33)))</f>
      </c>
      <c r="F32" s="701"/>
      <c r="G32" s="701"/>
      <c r="H32" s="52"/>
      <c r="I32" s="52"/>
      <c r="J32" s="64"/>
      <c r="K32" s="64"/>
      <c r="L32" s="64"/>
      <c r="M32" s="64"/>
      <c r="N32" s="287"/>
      <c r="O32" s="739"/>
      <c r="P32" s="739"/>
      <c r="Q32" s="746"/>
      <c r="R32" s="66"/>
    </row>
    <row r="33" spans="1:18" s="15" customFormat="1" ht="9" customHeight="1" hidden="1">
      <c r="A33" s="698"/>
      <c r="C33" s="745">
        <f>IF($A33="","",IF(OR($A33="Х",$A33="X"),"Х",INDEX(ПодгДТ!$S$8:$S$23,$A33)))</f>
      </c>
      <c r="D33" s="727">
        <f>IF($A33="","",IF(OR($A33="Х",$A33="X"),"",INDEX(ПодгДТ!$O$8:$O$23,$A33)))</f>
      </c>
      <c r="E33" s="703"/>
      <c r="F33" s="703"/>
      <c r="G33" s="703"/>
      <c r="H33" s="52"/>
      <c r="I33" s="52"/>
      <c r="J33" s="65"/>
      <c r="K33" s="65"/>
      <c r="L33" s="64"/>
      <c r="M33" s="64"/>
      <c r="N33" s="68"/>
      <c r="O33" s="740"/>
      <c r="P33" s="740"/>
      <c r="Q33" s="65"/>
      <c r="R33" s="66"/>
    </row>
    <row r="34" spans="1:18" s="15" customFormat="1" ht="9" customHeight="1" hidden="1">
      <c r="A34" s="698"/>
      <c r="C34" s="713"/>
      <c r="D34" s="728"/>
      <c r="E34" s="106"/>
      <c r="F34" s="708"/>
      <c r="G34" s="709"/>
      <c r="H34" s="749">
        <f>IF(H36=3,"Х",IF(H36=0,"",IF(H36=1,E32,E36)))</f>
      </c>
      <c r="I34" s="750"/>
      <c r="J34" s="750"/>
      <c r="K34" s="267"/>
      <c r="L34" s="64"/>
      <c r="M34" s="65"/>
      <c r="N34" s="69"/>
      <c r="O34" s="64"/>
      <c r="P34" s="66"/>
      <c r="Q34" s="65"/>
      <c r="R34" s="66"/>
    </row>
    <row r="35" spans="1:18" s="15" customFormat="1" ht="9" customHeight="1" hidden="1">
      <c r="A35" s="698"/>
      <c r="C35" s="712">
        <f>IF($A35="","",IF(OR($A35="Х",$A35="X"),"Х",INDEX(ПодгДТ!$S$8:$S$23,$A35)))</f>
      </c>
      <c r="D35" s="701">
        <f>IF($A35="","",IF(OR($A35="Х",$A35="X"),"",INDEX(ПодгДТ!$O$8:$O$23,$A35)))</f>
      </c>
      <c r="E35" s="83"/>
      <c r="F35" s="710"/>
      <c r="G35" s="711"/>
      <c r="H35" s="751"/>
      <c r="I35" s="752"/>
      <c r="J35" s="752"/>
      <c r="K35" s="267"/>
      <c r="L35" s="64"/>
      <c r="M35" s="65"/>
      <c r="N35" s="69"/>
      <c r="O35" s="64"/>
      <c r="P35" s="66"/>
      <c r="Q35" s="65"/>
      <c r="R35" s="66"/>
    </row>
    <row r="36" spans="1:18" s="15" customFormat="1" ht="9" customHeight="1" hidden="1">
      <c r="A36" s="698"/>
      <c r="C36" s="712"/>
      <c r="D36" s="703"/>
      <c r="E36" s="701">
        <f>IF(E38=3,"Х",IF(E38=0,"",IF(E38=1,C35,C37)))</f>
      </c>
      <c r="F36" s="701"/>
      <c r="G36" s="701"/>
      <c r="H36" s="103"/>
      <c r="I36" s="708"/>
      <c r="J36" s="709"/>
      <c r="K36" s="86"/>
      <c r="L36" s="64"/>
      <c r="M36" s="65"/>
      <c r="N36" s="69"/>
      <c r="O36" s="64"/>
      <c r="P36" s="66"/>
      <c r="Q36" s="65"/>
      <c r="R36" s="66"/>
    </row>
    <row r="37" spans="1:18" s="15" customFormat="1" ht="9" customHeight="1" hidden="1">
      <c r="A37" s="698"/>
      <c r="C37" s="745">
        <f>IF($A37="","",IF(OR($A37="Х",$A37="X"),"Х",INDEX(ПодгДТ!$S$8:$S$23,$A37)))</f>
      </c>
      <c r="D37" s="727">
        <f>IF($A37="","",IF(OR($A37="Х",$A37="X"),"",INDEX(ПодгДТ!$O$8:$O$23,$A37)))</f>
      </c>
      <c r="E37" s="703"/>
      <c r="F37" s="703"/>
      <c r="G37" s="703"/>
      <c r="H37" s="53"/>
      <c r="I37" s="710"/>
      <c r="J37" s="711"/>
      <c r="K37" s="86"/>
      <c r="L37" s="65"/>
      <c r="M37" s="65"/>
      <c r="N37" s="69"/>
      <c r="O37" s="64"/>
      <c r="P37" s="66"/>
      <c r="Q37" s="65"/>
      <c r="R37" s="66"/>
    </row>
    <row r="38" spans="1:18" s="15" customFormat="1" ht="9" customHeight="1" hidden="1">
      <c r="A38" s="698"/>
      <c r="C38" s="713"/>
      <c r="D38" s="728"/>
      <c r="E38" s="106"/>
      <c r="F38" s="708"/>
      <c r="G38" s="708"/>
      <c r="H38" s="267"/>
      <c r="I38" s="267"/>
      <c r="J38" s="65"/>
      <c r="K38" s="714">
        <f>IF(K40=3,"Х",IF(K40=0,"",IF(K40=1,H34,H42)))</f>
      </c>
      <c r="L38" s="715"/>
      <c r="M38" s="715"/>
      <c r="N38" s="87"/>
      <c r="O38" s="64"/>
      <c r="P38" s="66"/>
      <c r="Q38" s="65"/>
      <c r="R38" s="66"/>
    </row>
    <row r="39" spans="1:30" s="15" customFormat="1" ht="9" customHeight="1" hidden="1">
      <c r="A39" s="698"/>
      <c r="C39" s="712">
        <f>IF($A39="","",IF(OR($A39="Х",$A39="X"),"Х",INDEX(ПодгДТ!$S$8:$S$23,$A39)))</f>
      </c>
      <c r="D39" s="701">
        <f>IF($A39="","",IF(OR($A39="Х",$A39="X"),"",INDEX(ПодгДТ!$O$8:$O$23,$A39)))</f>
      </c>
      <c r="E39" s="83"/>
      <c r="F39" s="710"/>
      <c r="G39" s="710"/>
      <c r="H39" s="267"/>
      <c r="I39" s="267"/>
      <c r="J39" s="64"/>
      <c r="K39" s="716"/>
      <c r="L39" s="717"/>
      <c r="M39" s="717"/>
      <c r="N39" s="87"/>
      <c r="O39" s="64"/>
      <c r="P39" s="66"/>
      <c r="Q39" s="64"/>
      <c r="R39" s="66"/>
      <c r="V39" s="72"/>
      <c r="W39" s="64"/>
      <c r="X39" s="64"/>
      <c r="Y39" s="65"/>
      <c r="Z39" s="65"/>
      <c r="AA39" s="64"/>
      <c r="AB39" s="64"/>
      <c r="AC39" s="64"/>
      <c r="AD39" s="67"/>
    </row>
    <row r="40" spans="1:30" s="15" customFormat="1" ht="9" customHeight="1" hidden="1">
      <c r="A40" s="698"/>
      <c r="C40" s="712"/>
      <c r="D40" s="703"/>
      <c r="E40" s="701">
        <f>IF(E42=3,"Х",IF(E42=0,"",IF(E42=1,C39,C41)))</f>
      </c>
      <c r="F40" s="701"/>
      <c r="G40" s="701"/>
      <c r="H40" s="52"/>
      <c r="I40" s="52"/>
      <c r="J40" s="64"/>
      <c r="K40" s="287"/>
      <c r="L40" s="741"/>
      <c r="M40" s="741"/>
      <c r="N40" s="271"/>
      <c r="O40" s="64"/>
      <c r="P40" s="66"/>
      <c r="Q40" s="65"/>
      <c r="R40" s="66"/>
      <c r="V40" s="64"/>
      <c r="W40" s="64"/>
      <c r="X40" s="64"/>
      <c r="Y40" s="65"/>
      <c r="Z40" s="65"/>
      <c r="AA40" s="65"/>
      <c r="AB40" s="65"/>
      <c r="AC40" s="64"/>
      <c r="AD40" s="67"/>
    </row>
    <row r="41" spans="1:30" s="15" customFormat="1" ht="9" customHeight="1" hidden="1">
      <c r="A41" s="698"/>
      <c r="C41" s="745">
        <f>IF($A41="","",IF(OR($A41="Х",$A41="X"),"Х",INDEX(ПодгДТ!$S$8:$S$23,$A41)))</f>
      </c>
      <c r="D41" s="727">
        <f>IF($A41="","",IF(OR($A41="Х",$A41="X"),"",INDEX(ПодгДТ!$O$8:$O$23,$A41)))</f>
      </c>
      <c r="E41" s="703"/>
      <c r="F41" s="703"/>
      <c r="G41" s="703"/>
      <c r="H41" s="52"/>
      <c r="I41" s="52"/>
      <c r="J41" s="65"/>
      <c r="K41" s="69"/>
      <c r="L41" s="742"/>
      <c r="M41" s="742"/>
      <c r="N41" s="271"/>
      <c r="O41" s="64"/>
      <c r="P41" s="66"/>
      <c r="Q41" s="65"/>
      <c r="R41" s="66"/>
      <c r="V41" s="64"/>
      <c r="W41" s="64"/>
      <c r="X41" s="65"/>
      <c r="Y41" s="65"/>
      <c r="Z41" s="65"/>
      <c r="AA41" s="65"/>
      <c r="AB41" s="65"/>
      <c r="AC41" s="64"/>
      <c r="AD41" s="67"/>
    </row>
    <row r="42" spans="1:30" s="15" customFormat="1" ht="9" customHeight="1" hidden="1">
      <c r="A42" s="698"/>
      <c r="C42" s="713"/>
      <c r="D42" s="728"/>
      <c r="E42" s="106"/>
      <c r="F42" s="708"/>
      <c r="G42" s="709"/>
      <c r="H42" s="749">
        <f>IF(H44=3,"Х",IF(H44=0,"",IF(H44=1,E40,E44)))</f>
      </c>
      <c r="I42" s="750"/>
      <c r="J42" s="758"/>
      <c r="K42" s="84"/>
      <c r="L42" s="64"/>
      <c r="M42" s="65"/>
      <c r="N42" s="65"/>
      <c r="O42" s="64"/>
      <c r="P42" s="66"/>
      <c r="Q42" s="65"/>
      <c r="R42" s="66"/>
      <c r="V42" s="64"/>
      <c r="W42" s="64"/>
      <c r="X42" s="65"/>
      <c r="Y42" s="64"/>
      <c r="Z42" s="65"/>
      <c r="AA42" s="64"/>
      <c r="AB42" s="70"/>
      <c r="AC42" s="67"/>
      <c r="AD42" s="66"/>
    </row>
    <row r="43" spans="1:30" s="15" customFormat="1" ht="9" customHeight="1" hidden="1">
      <c r="A43" s="698"/>
      <c r="C43" s="712">
        <f>IF($A43="","",IF(OR($A43="Х",$A43="X"),"Х",INDEX(ПодгДТ!$S$8:$S$23,$A43)))</f>
      </c>
      <c r="D43" s="701">
        <f>IF($A43="","",IF(OR($A43="Х",$A43="X"),"",INDEX(ПодгДТ!$O$8:$O$23,$A43)))</f>
      </c>
      <c r="E43" s="83"/>
      <c r="F43" s="710"/>
      <c r="G43" s="711"/>
      <c r="H43" s="751"/>
      <c r="I43" s="752"/>
      <c r="J43" s="759"/>
      <c r="K43" s="84"/>
      <c r="L43" s="64"/>
      <c r="M43" s="65"/>
      <c r="N43" s="65"/>
      <c r="O43" s="64"/>
      <c r="P43" s="66"/>
      <c r="Q43" s="65"/>
      <c r="R43" s="66"/>
      <c r="V43" s="64"/>
      <c r="W43" s="64"/>
      <c r="X43" s="65"/>
      <c r="Y43" s="64"/>
      <c r="Z43" s="65"/>
      <c r="AA43" s="64"/>
      <c r="AB43" s="70"/>
      <c r="AC43" s="67"/>
      <c r="AD43" s="66"/>
    </row>
    <row r="44" spans="1:30" s="15" customFormat="1" ht="9" customHeight="1" hidden="1">
      <c r="A44" s="698"/>
      <c r="C44" s="712"/>
      <c r="D44" s="703"/>
      <c r="E44" s="701">
        <f>IF(E46=3,"Х",IF(E46=0,"",IF(E46=1,C43,C45)))</f>
      </c>
      <c r="F44" s="701"/>
      <c r="G44" s="701"/>
      <c r="H44" s="103"/>
      <c r="I44" s="708"/>
      <c r="J44" s="708"/>
      <c r="K44" s="85"/>
      <c r="L44" s="64"/>
      <c r="M44" s="64"/>
      <c r="N44" s="64"/>
      <c r="O44" s="64"/>
      <c r="P44" s="64"/>
      <c r="Q44" s="64"/>
      <c r="R44" s="66"/>
      <c r="V44" s="64"/>
      <c r="W44" s="64"/>
      <c r="X44" s="65"/>
      <c r="Y44" s="65"/>
      <c r="Z44" s="65"/>
      <c r="AA44" s="64"/>
      <c r="AB44" s="70"/>
      <c r="AC44" s="67"/>
      <c r="AD44" s="66"/>
    </row>
    <row r="45" spans="1:30" s="15" customFormat="1" ht="9" customHeight="1" hidden="1">
      <c r="A45" s="698"/>
      <c r="C45" s="745">
        <f>IF($A45="","",IF(OR($A45="Х",$A45="X"),"Х",INDEX(ПодгДТ!$S$8:$S$23,$A45)))</f>
      </c>
      <c r="D45" s="727">
        <f>IF($A45="","",IF(OR($A45="Х",$A45="X"),"",INDEX(ПодгДТ!$O$8:$O$23,$A45)))</f>
      </c>
      <c r="E45" s="703"/>
      <c r="F45" s="703"/>
      <c r="G45" s="703"/>
      <c r="H45" s="53"/>
      <c r="I45" s="710"/>
      <c r="J45" s="710"/>
      <c r="K45" s="85"/>
      <c r="L45" s="64"/>
      <c r="M45" s="65"/>
      <c r="N45" s="65"/>
      <c r="O45" s="64"/>
      <c r="P45" s="65"/>
      <c r="Q45" s="64"/>
      <c r="R45" s="66"/>
      <c r="V45" s="64"/>
      <c r="W45" s="64"/>
      <c r="X45" s="65"/>
      <c r="Y45" s="65"/>
      <c r="Z45" s="65"/>
      <c r="AA45" s="64"/>
      <c r="AB45" s="70"/>
      <c r="AC45" s="67"/>
      <c r="AD45" s="66"/>
    </row>
    <row r="46" spans="1:30" s="15" customFormat="1" ht="9" customHeight="1" hidden="1">
      <c r="A46" s="698"/>
      <c r="C46" s="713"/>
      <c r="D46" s="728"/>
      <c r="E46" s="106"/>
      <c r="F46" s="708"/>
      <c r="G46" s="708"/>
      <c r="H46" s="267"/>
      <c r="I46" s="267"/>
      <c r="J46" s="65"/>
      <c r="K46" s="65"/>
      <c r="L46" s="64"/>
      <c r="M46" s="65"/>
      <c r="N46" s="65"/>
      <c r="O46" s="64"/>
      <c r="P46" s="64"/>
      <c r="Q46" s="64"/>
      <c r="R46" s="66"/>
      <c r="V46" s="64"/>
      <c r="W46" s="64"/>
      <c r="X46" s="64"/>
      <c r="Y46" s="65"/>
      <c r="Z46" s="65"/>
      <c r="AA46" s="64"/>
      <c r="AB46" s="70"/>
      <c r="AC46" s="64"/>
      <c r="AD46" s="66"/>
    </row>
    <row r="47" spans="3:30" s="15" customFormat="1" ht="9" customHeight="1" hidden="1">
      <c r="C47" s="60"/>
      <c r="D47" s="60"/>
      <c r="E47" s="83"/>
      <c r="F47" s="710"/>
      <c r="G47" s="710"/>
      <c r="H47" s="267"/>
      <c r="I47" s="267"/>
      <c r="J47" s="65"/>
      <c r="K47" s="65"/>
      <c r="L47" s="64"/>
      <c r="M47" s="65"/>
      <c r="N47" s="65"/>
      <c r="O47" s="64"/>
      <c r="P47" s="64"/>
      <c r="Q47" s="64"/>
      <c r="R47" s="66"/>
      <c r="V47" s="64"/>
      <c r="W47" s="64"/>
      <c r="X47" s="64"/>
      <c r="Y47" s="65"/>
      <c r="Z47" s="65"/>
      <c r="AA47" s="64"/>
      <c r="AB47" s="70"/>
      <c r="AC47" s="64"/>
      <c r="AD47" s="66"/>
    </row>
    <row r="48" spans="3:30" s="15" customFormat="1" ht="15" customHeight="1">
      <c r="C48" s="699" t="str">
        <f>CONCATENATE("Для проигравших в",ПодгДТ!F51," финала")</f>
        <v>Для проигравших в 1/8 финала</v>
      </c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V48" s="64"/>
      <c r="W48" s="64"/>
      <c r="X48" s="64"/>
      <c r="Y48" s="65"/>
      <c r="Z48" s="65"/>
      <c r="AA48" s="64"/>
      <c r="AB48" s="70"/>
      <c r="AC48" s="65"/>
      <c r="AD48" s="66"/>
    </row>
    <row r="49" spans="3:30" s="15" customFormat="1" ht="15" customHeight="1"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V49" s="64"/>
      <c r="W49" s="64"/>
      <c r="X49" s="65"/>
      <c r="Y49" s="64"/>
      <c r="Z49" s="65"/>
      <c r="AA49" s="64"/>
      <c r="AB49" s="70"/>
      <c r="AC49" s="65"/>
      <c r="AD49" s="66"/>
    </row>
    <row r="50" spans="3:30" s="15" customFormat="1" ht="15" customHeight="1">
      <c r="C50" s="51"/>
      <c r="D50" s="693"/>
      <c r="E50" s="51"/>
      <c r="F50" s="712">
        <f>IF(ПодгДТ!$AC$7,ПодгДТ!AC8,IF($D50="","",IF(AND($D50&lt;9,$D50&gt;=1),INDEX(ПодгДТ!$S$25:$S$32,$D50),"Х")))</f>
      </c>
      <c r="G50" s="712">
        <f>IF(ПодгДТ!$AC$7,ПодгДТ!AD8,IF($D50="","",IF(AND($D50&lt;9,$D50&gt;=1),INDEX(ПодгДТ!$O$25:$O$32,$D50),"")))</f>
      </c>
      <c r="H50" s="272"/>
      <c r="I50" s="272"/>
      <c r="J50" s="273"/>
      <c r="K50" s="273"/>
      <c r="L50" s="274"/>
      <c r="M50" s="274"/>
      <c r="N50" s="274"/>
      <c r="O50" s="273"/>
      <c r="P50" s="273"/>
      <c r="Q50" s="275"/>
      <c r="R50" s="16"/>
      <c r="V50" s="64"/>
      <c r="W50" s="64"/>
      <c r="X50" s="64"/>
      <c r="Y50" s="64"/>
      <c r="Z50" s="65"/>
      <c r="AA50" s="64"/>
      <c r="AB50" s="70"/>
      <c r="AC50" s="65"/>
      <c r="AD50" s="66"/>
    </row>
    <row r="51" spans="3:30" s="15" customFormat="1" ht="15" customHeight="1">
      <c r="C51" s="51"/>
      <c r="D51" s="694"/>
      <c r="E51" s="51"/>
      <c r="F51" s="713"/>
      <c r="G51" s="713"/>
      <c r="H51" s="272"/>
      <c r="I51" s="272"/>
      <c r="J51" s="273"/>
      <c r="K51" s="273"/>
      <c r="L51" s="274"/>
      <c r="M51" s="274"/>
      <c r="N51" s="274"/>
      <c r="O51" s="274"/>
      <c r="P51" s="274"/>
      <c r="Q51" s="275"/>
      <c r="R51" s="74"/>
      <c r="V51" s="64"/>
      <c r="W51" s="64"/>
      <c r="X51" s="64"/>
      <c r="Y51" s="64"/>
      <c r="Z51" s="65"/>
      <c r="AA51" s="64"/>
      <c r="AB51" s="70"/>
      <c r="AC51" s="65"/>
      <c r="AD51" s="66"/>
    </row>
    <row r="52" spans="3:30" s="15" customFormat="1" ht="15" customHeight="1">
      <c r="C52" s="51"/>
      <c r="D52" s="690"/>
      <c r="E52" s="51"/>
      <c r="F52" s="704"/>
      <c r="G52" s="705"/>
      <c r="H52" s="700" t="str">
        <f>IF(H54=0,CONCATENATE("поб.",F50,"/",F54),IF(H54=1,F50,IF(H54=2,F54,"Х")))</f>
        <v>поб./</v>
      </c>
      <c r="I52" s="701"/>
      <c r="J52" s="701"/>
      <c r="K52" s="52"/>
      <c r="L52" s="21"/>
      <c r="M52" s="21"/>
      <c r="N52" s="278"/>
      <c r="O52" s="278"/>
      <c r="P52" s="278"/>
      <c r="Q52" s="73"/>
      <c r="R52" s="74"/>
      <c r="V52" s="64"/>
      <c r="W52" s="64"/>
      <c r="X52" s="65"/>
      <c r="Y52" s="64"/>
      <c r="Z52" s="65"/>
      <c r="AA52" s="64"/>
      <c r="AB52" s="70"/>
      <c r="AC52" s="65"/>
      <c r="AD52" s="66"/>
    </row>
    <row r="53" spans="3:30" s="15" customFormat="1" ht="15" customHeight="1">
      <c r="C53" s="51"/>
      <c r="D53" s="690"/>
      <c r="E53" s="51"/>
      <c r="F53" s="706"/>
      <c r="G53" s="707"/>
      <c r="H53" s="702"/>
      <c r="I53" s="703"/>
      <c r="J53" s="703"/>
      <c r="K53" s="52"/>
      <c r="L53" s="13"/>
      <c r="M53" s="21"/>
      <c r="N53" s="278"/>
      <c r="O53" s="108"/>
      <c r="P53" s="279"/>
      <c r="Q53" s="73"/>
      <c r="R53" s="74"/>
      <c r="V53" s="64"/>
      <c r="W53" s="64"/>
      <c r="X53" s="65"/>
      <c r="Y53" s="64"/>
      <c r="Z53" s="65"/>
      <c r="AA53" s="64"/>
      <c r="AB53" s="70"/>
      <c r="AC53" s="65"/>
      <c r="AD53" s="66"/>
    </row>
    <row r="54" spans="3:30" s="15" customFormat="1" ht="15" customHeight="1">
      <c r="C54" s="51"/>
      <c r="D54" s="691"/>
      <c r="E54" s="51"/>
      <c r="F54" s="712">
        <f>IF(ПодгДТ!$AC$7,ПодгДТ!AC12,IF($D54="","",IF(AND($D54&lt;9,$D54&gt;=1),INDEX(ПодгДТ!$S$25:$S$32,$D54),"Х")))</f>
      </c>
      <c r="G54" s="725">
        <f>IF(ПодгДТ!$AC$7,ПодгДТ!AD12,IF($D54="","",IF(AND($D54&lt;9,$D54&gt;=1),INDEX(ПодгДТ!$O$25:$O$32,$D54),"")))</f>
      </c>
      <c r="H54" s="107"/>
      <c r="I54" s="708"/>
      <c r="J54" s="709"/>
      <c r="K54" s="86"/>
      <c r="L54" s="13"/>
      <c r="M54" s="21"/>
      <c r="N54" s="278"/>
      <c r="O54" s="108"/>
      <c r="P54" s="279"/>
      <c r="Q54" s="66"/>
      <c r="R54" s="74"/>
      <c r="V54" s="64"/>
      <c r="W54" s="64"/>
      <c r="X54" s="65"/>
      <c r="Y54" s="64"/>
      <c r="Z54" s="64"/>
      <c r="AA54" s="65"/>
      <c r="AB54" s="65"/>
      <c r="AC54" s="67"/>
      <c r="AD54" s="66"/>
    </row>
    <row r="55" spans="3:30" s="15" customFormat="1" ht="15" customHeight="1">
      <c r="C55" s="51"/>
      <c r="D55" s="692"/>
      <c r="E55" s="51"/>
      <c r="F55" s="723"/>
      <c r="G55" s="726"/>
      <c r="H55" s="276"/>
      <c r="I55" s="710"/>
      <c r="J55" s="711"/>
      <c r="K55" s="86"/>
      <c r="L55" s="21"/>
      <c r="M55" s="21"/>
      <c r="N55" s="278"/>
      <c r="O55" s="108"/>
      <c r="P55" s="279"/>
      <c r="Q55" s="75"/>
      <c r="R55" s="16"/>
      <c r="V55" s="64"/>
      <c r="W55" s="64"/>
      <c r="X55" s="64"/>
      <c r="Y55" s="64"/>
      <c r="Z55" s="64"/>
      <c r="AA55" s="65"/>
      <c r="AB55" s="65"/>
      <c r="AC55" s="65"/>
      <c r="AD55" s="66"/>
    </row>
    <row r="56" spans="3:30" s="15" customFormat="1" ht="15" customHeight="1">
      <c r="C56" s="51"/>
      <c r="D56" s="690"/>
      <c r="E56" s="51"/>
      <c r="F56" s="704"/>
      <c r="G56" s="704"/>
      <c r="H56" s="57"/>
      <c r="I56" s="51"/>
      <c r="J56" s="21"/>
      <c r="K56" s="700" t="str">
        <f>IF(K58=0,CONCATENATE("поб.",H52,"/",H60),IF(K58=1,H52,IF(K58=2,H60,"Х")))</f>
        <v>поб.поб.//поб./</v>
      </c>
      <c r="L56" s="701"/>
      <c r="M56" s="701"/>
      <c r="N56" s="54"/>
      <c r="O56" s="108"/>
      <c r="P56" s="279"/>
      <c r="Q56" s="75"/>
      <c r="R56" s="16"/>
      <c r="V56" s="64"/>
      <c r="W56" s="64"/>
      <c r="X56" s="64"/>
      <c r="Y56" s="64"/>
      <c r="Z56" s="64"/>
      <c r="AA56" s="64"/>
      <c r="AB56" s="70"/>
      <c r="AC56" s="65"/>
      <c r="AD56" s="66"/>
    </row>
    <row r="57" spans="3:30" s="15" customFormat="1" ht="15" customHeight="1">
      <c r="C57" s="51"/>
      <c r="D57" s="690"/>
      <c r="E57" s="51"/>
      <c r="F57" s="706"/>
      <c r="G57" s="706"/>
      <c r="H57" s="57"/>
      <c r="I57" s="57"/>
      <c r="J57" s="13"/>
      <c r="K57" s="702"/>
      <c r="L57" s="703"/>
      <c r="M57" s="703"/>
      <c r="N57" s="54"/>
      <c r="O57" s="108"/>
      <c r="P57" s="279"/>
      <c r="Q57" s="75"/>
      <c r="R57" s="16"/>
      <c r="V57" s="64"/>
      <c r="W57" s="64"/>
      <c r="X57" s="65"/>
      <c r="Y57" s="64"/>
      <c r="Z57" s="64"/>
      <c r="AA57" s="64"/>
      <c r="AB57" s="70"/>
      <c r="AC57" s="65"/>
      <c r="AD57" s="66"/>
    </row>
    <row r="58" spans="3:30" s="15" customFormat="1" ht="15" customHeight="1">
      <c r="C58" s="51"/>
      <c r="D58" s="691"/>
      <c r="E58" s="51"/>
      <c r="F58" s="712">
        <f>IF(ПодгДТ!$AC$7,ПодгДТ!AC16,IF($D58="","",IF(AND($D58&lt;9,$D58&gt;=1),INDEX(ПодгДТ!$S$25:$S$32,$D58),"Х")))</f>
      </c>
      <c r="G58" s="712">
        <f>IF(ПодгДТ!$AC$7,ПодгДТ!AD16,IF($D58="","",IF(AND($D58&lt;9,$D58&gt;=1),INDEX(ПодгДТ!$O$25:$O$32,$D58),"")))</f>
      </c>
      <c r="H58" s="48"/>
      <c r="I58" s="48"/>
      <c r="J58" s="13"/>
      <c r="K58" s="104"/>
      <c r="L58" s="729"/>
      <c r="M58" s="729"/>
      <c r="N58" s="280"/>
      <c r="O58" s="108"/>
      <c r="P58" s="279"/>
      <c r="Q58" s="66"/>
      <c r="R58" s="16"/>
      <c r="V58" s="64"/>
      <c r="W58" s="64"/>
      <c r="X58" s="64"/>
      <c r="Y58" s="64"/>
      <c r="Z58" s="65"/>
      <c r="AA58" s="64"/>
      <c r="AB58" s="70"/>
      <c r="AC58" s="65"/>
      <c r="AD58" s="66"/>
    </row>
    <row r="59" spans="3:30" s="15" customFormat="1" ht="15" customHeight="1">
      <c r="C59" s="51"/>
      <c r="D59" s="692"/>
      <c r="E59" s="51"/>
      <c r="F59" s="713"/>
      <c r="G59" s="713"/>
      <c r="H59" s="48"/>
      <c r="I59" s="48"/>
      <c r="J59" s="21"/>
      <c r="K59" s="277"/>
      <c r="L59" s="730"/>
      <c r="M59" s="730"/>
      <c r="N59" s="280"/>
      <c r="O59" s="108"/>
      <c r="P59" s="279"/>
      <c r="Q59" s="66"/>
      <c r="R59" s="16"/>
      <c r="V59" s="64"/>
      <c r="W59" s="64"/>
      <c r="X59" s="64"/>
      <c r="Y59" s="64"/>
      <c r="Z59" s="65"/>
      <c r="AA59" s="64"/>
      <c r="AB59" s="70"/>
      <c r="AC59" s="65"/>
      <c r="AD59" s="66"/>
    </row>
    <row r="60" spans="3:30" s="15" customFormat="1" ht="15" customHeight="1">
      <c r="C60" s="51"/>
      <c r="D60" s="690"/>
      <c r="E60" s="51"/>
      <c r="F60" s="704"/>
      <c r="G60" s="705"/>
      <c r="H60" s="700" t="str">
        <f>IF(H62=0,CONCATENATE("поб.",F58,"/",F62),IF(H62=1,F58,IF(H62=2,F62,"Х")))</f>
        <v>поб./</v>
      </c>
      <c r="I60" s="701"/>
      <c r="J60" s="701"/>
      <c r="K60" s="53"/>
      <c r="L60" s="13"/>
      <c r="M60" s="21"/>
      <c r="N60" s="277"/>
      <c r="O60" s="108"/>
      <c r="P60" s="279"/>
      <c r="Q60" s="66"/>
      <c r="R60" s="16"/>
      <c r="V60" s="64"/>
      <c r="W60" s="64"/>
      <c r="X60" s="65"/>
      <c r="Y60" s="64"/>
      <c r="Z60" s="65"/>
      <c r="AA60" s="64"/>
      <c r="AB60" s="70"/>
      <c r="AC60" s="65"/>
      <c r="AD60" s="66"/>
    </row>
    <row r="61" spans="3:30" s="15" customFormat="1" ht="15" customHeight="1">
      <c r="C61" s="51"/>
      <c r="D61" s="690"/>
      <c r="E61" s="51"/>
      <c r="F61" s="706"/>
      <c r="G61" s="707"/>
      <c r="H61" s="702"/>
      <c r="I61" s="703"/>
      <c r="J61" s="703"/>
      <c r="K61" s="53"/>
      <c r="L61" s="13"/>
      <c r="M61" s="21"/>
      <c r="N61" s="277"/>
      <c r="O61" s="108"/>
      <c r="P61" s="279"/>
      <c r="Q61" s="66"/>
      <c r="R61" s="16"/>
      <c r="V61" s="64"/>
      <c r="W61" s="64"/>
      <c r="X61" s="65"/>
      <c r="Y61" s="64"/>
      <c r="Z61" s="64"/>
      <c r="AA61" s="64"/>
      <c r="AB61" s="70"/>
      <c r="AC61" s="65"/>
      <c r="AD61" s="66"/>
    </row>
    <row r="62" spans="3:30" s="15" customFormat="1" ht="15" customHeight="1">
      <c r="C62" s="51"/>
      <c r="D62" s="691"/>
      <c r="E62" s="51"/>
      <c r="F62" s="712">
        <f>IF(ПодгДТ!$AC$7,ПодгДТ!AC20,IF($D62="","",IF(AND($D62&lt;9,$D62&gt;=1),INDEX(ПодгДТ!$S$25:$S$32,$D62),"Х")))</f>
      </c>
      <c r="G62" s="725">
        <f>IF(ПодгДТ!$AC$7,ПодгДТ!AD20,IF($D62="","",IF(AND($D62&lt;9,$D62&gt;=1),INDEX(ПодгДТ!$O$25:$O$32,$D62),"")))</f>
      </c>
      <c r="H62" s="107"/>
      <c r="I62" s="708"/>
      <c r="J62" s="708"/>
      <c r="K62" s="85"/>
      <c r="L62" s="13"/>
      <c r="M62" s="21"/>
      <c r="N62" s="277"/>
      <c r="O62" s="108"/>
      <c r="P62" s="279"/>
      <c r="Q62" s="66"/>
      <c r="R62" s="16"/>
      <c r="V62" s="64"/>
      <c r="W62" s="64"/>
      <c r="X62" s="65"/>
      <c r="Y62" s="64"/>
      <c r="Z62" s="64"/>
      <c r="AA62" s="64"/>
      <c r="AB62" s="70"/>
      <c r="AC62" s="65"/>
      <c r="AD62" s="66"/>
    </row>
    <row r="63" spans="3:30" s="15" customFormat="1" ht="15" customHeight="1">
      <c r="C63" s="51"/>
      <c r="D63" s="692"/>
      <c r="E63" s="51"/>
      <c r="F63" s="723"/>
      <c r="G63" s="726"/>
      <c r="H63" s="276"/>
      <c r="I63" s="710"/>
      <c r="J63" s="710"/>
      <c r="K63" s="85"/>
      <c r="L63" s="13"/>
      <c r="M63" s="21"/>
      <c r="N63" s="277"/>
      <c r="O63" s="108"/>
      <c r="P63" s="279"/>
      <c r="Q63" s="74"/>
      <c r="R63" s="16"/>
      <c r="V63" s="64"/>
      <c r="W63" s="64"/>
      <c r="X63" s="64"/>
      <c r="Y63" s="64"/>
      <c r="Z63" s="64"/>
      <c r="AA63" s="64"/>
      <c r="AB63" s="70"/>
      <c r="AC63" s="64"/>
      <c r="AD63" s="66"/>
    </row>
    <row r="64" spans="3:30" s="15" customFormat="1" ht="15" customHeight="1">
      <c r="C64" s="51"/>
      <c r="D64" s="690"/>
      <c r="E64" s="51"/>
      <c r="F64" s="704"/>
      <c r="G64" s="704"/>
      <c r="H64" s="57"/>
      <c r="I64" s="51"/>
      <c r="J64" s="21"/>
      <c r="K64" s="278"/>
      <c r="L64" s="13"/>
      <c r="M64" s="13"/>
      <c r="N64" s="700" t="str">
        <f>IF(N66=0,CONCATENATE("поб.",K56,"/",K72),IF(N66=1,K56,IF(N66=2,K72,"Х")))</f>
        <v>поб.поб.поб.//поб.//поб.поб.//поб./</v>
      </c>
      <c r="O64" s="701"/>
      <c r="P64" s="701"/>
      <c r="Q64" s="74"/>
      <c r="R64" s="16"/>
      <c r="V64" s="64"/>
      <c r="W64" s="64"/>
      <c r="X64" s="64"/>
      <c r="Y64" s="72"/>
      <c r="Z64" s="72"/>
      <c r="AA64" s="64"/>
      <c r="AB64" s="70"/>
      <c r="AC64" s="64"/>
      <c r="AD64" s="66"/>
    </row>
    <row r="65" spans="3:30" s="15" customFormat="1" ht="15" customHeight="1">
      <c r="C65" s="51"/>
      <c r="D65" s="690"/>
      <c r="E65" s="51"/>
      <c r="F65" s="706"/>
      <c r="G65" s="706"/>
      <c r="H65" s="57"/>
      <c r="I65" s="51"/>
      <c r="J65" s="13"/>
      <c r="K65" s="108"/>
      <c r="L65" s="13"/>
      <c r="M65" s="13"/>
      <c r="N65" s="702"/>
      <c r="O65" s="703"/>
      <c r="P65" s="703"/>
      <c r="Q65" s="74"/>
      <c r="R65" s="16"/>
      <c r="V65" s="64"/>
      <c r="W65" s="64"/>
      <c r="X65" s="64"/>
      <c r="Y65" s="72"/>
      <c r="Z65" s="72"/>
      <c r="AA65" s="64"/>
      <c r="AB65" s="70"/>
      <c r="AC65" s="64"/>
      <c r="AD65" s="66"/>
    </row>
    <row r="66" spans="3:30" s="15" customFormat="1" ht="15" customHeight="1">
      <c r="C66" s="51"/>
      <c r="D66" s="691"/>
      <c r="E66" s="51"/>
      <c r="F66" s="712">
        <f>IF(ПодгДТ!$AC$7,ПодгДТ!AC24,IF($D66="","",IF(AND($D66&lt;9,$D66&gt;=1),INDEX(ПодгДТ!$S$25:$S$32,$D66),"Х")))</f>
      </c>
      <c r="G66" s="712">
        <f>IF(ПодгДТ!$AC$7,ПодгДТ!AD24,IF($D66="","",IF(AND($D66&lt;9,$D66&gt;=1),INDEX(ПодгДТ!$O$25:$O$32,$D66),"")))</f>
      </c>
      <c r="H66" s="48"/>
      <c r="I66" s="48"/>
      <c r="J66" s="13"/>
      <c r="K66" s="108"/>
      <c r="L66" s="13"/>
      <c r="M66" s="13"/>
      <c r="N66" s="104"/>
      <c r="O66" s="731"/>
      <c r="P66" s="731"/>
      <c r="Q66" s="74"/>
      <c r="R66" s="16"/>
      <c r="V66" s="64"/>
      <c r="W66" s="64"/>
      <c r="X66" s="64"/>
      <c r="Y66" s="72"/>
      <c r="Z66" s="72"/>
      <c r="AA66" s="64"/>
      <c r="AB66" s="70"/>
      <c r="AC66" s="64"/>
      <c r="AD66" s="66"/>
    </row>
    <row r="67" spans="3:30" s="15" customFormat="1" ht="15" customHeight="1">
      <c r="C67" s="51"/>
      <c r="D67" s="692"/>
      <c r="E67" s="51"/>
      <c r="F67" s="713"/>
      <c r="G67" s="713"/>
      <c r="H67" s="48"/>
      <c r="I67" s="48"/>
      <c r="J67" s="21"/>
      <c r="K67" s="278"/>
      <c r="L67" s="13"/>
      <c r="M67" s="13"/>
      <c r="N67" s="89"/>
      <c r="O67" s="732"/>
      <c r="P67" s="732"/>
      <c r="Q67" s="74"/>
      <c r="R67" s="16"/>
      <c r="V67" s="64"/>
      <c r="W67" s="64"/>
      <c r="X67" s="64"/>
      <c r="Y67" s="72"/>
      <c r="Z67" s="72"/>
      <c r="AA67" s="64"/>
      <c r="AB67" s="70"/>
      <c r="AC67" s="64"/>
      <c r="AD67" s="66"/>
    </row>
    <row r="68" spans="3:30" s="15" customFormat="1" ht="15" customHeight="1">
      <c r="C68" s="51"/>
      <c r="D68" s="690"/>
      <c r="E68" s="51"/>
      <c r="F68" s="704"/>
      <c r="G68" s="705"/>
      <c r="H68" s="700" t="str">
        <f>IF(H70=0,CONCATENATE("поб.",F66,"/",F70),IF(H70=1,F66,IF(H70=2,F70,"Х")))</f>
        <v>поб./</v>
      </c>
      <c r="I68" s="701"/>
      <c r="J68" s="701"/>
      <c r="K68" s="52"/>
      <c r="L68" s="13"/>
      <c r="M68" s="21"/>
      <c r="N68" s="55"/>
      <c r="O68" s="13"/>
      <c r="P68" s="90"/>
      <c r="Q68" s="74"/>
      <c r="R68" s="16"/>
      <c r="V68" s="64"/>
      <c r="W68" s="64"/>
      <c r="X68" s="64"/>
      <c r="Y68" s="72"/>
      <c r="Z68" s="72"/>
      <c r="AA68" s="64"/>
      <c r="AB68" s="70"/>
      <c r="AC68" s="64"/>
      <c r="AD68" s="66"/>
    </row>
    <row r="69" spans="3:30" s="15" customFormat="1" ht="15" customHeight="1">
      <c r="C69" s="51"/>
      <c r="D69" s="690"/>
      <c r="E69" s="51"/>
      <c r="F69" s="706"/>
      <c r="G69" s="707"/>
      <c r="H69" s="702"/>
      <c r="I69" s="703"/>
      <c r="J69" s="703"/>
      <c r="K69" s="52"/>
      <c r="L69" s="13"/>
      <c r="M69" s="21"/>
      <c r="N69" s="55"/>
      <c r="O69" s="13"/>
      <c r="P69" s="90"/>
      <c r="Q69" s="74"/>
      <c r="R69" s="16"/>
      <c r="V69" s="64"/>
      <c r="W69" s="64"/>
      <c r="X69" s="64"/>
      <c r="Y69" s="72"/>
      <c r="Z69" s="72"/>
      <c r="AA69" s="64"/>
      <c r="AB69" s="70"/>
      <c r="AC69" s="64"/>
      <c r="AD69" s="66"/>
    </row>
    <row r="70" spans="3:30" s="15" customFormat="1" ht="15" customHeight="1">
      <c r="C70" s="51"/>
      <c r="D70" s="691"/>
      <c r="E70" s="51"/>
      <c r="F70" s="712">
        <f>IF(ПодгДТ!$AC$7,ПодгДТ!AC28,IF($D70="","",IF(AND($D70&lt;9,$D70&gt;=1),INDEX(ПодгДТ!$S$25:$S$32,$D70),"Х")))</f>
      </c>
      <c r="G70" s="725">
        <f>IF(ПодгДТ!$AC$7,ПодгДТ!AD28,IF($D70="","",IF(AND($D70&lt;9,$D70&gt;=1),INDEX(ПодгДТ!$O$25:$O$32,$D70),"")))</f>
      </c>
      <c r="H70" s="107"/>
      <c r="I70" s="708"/>
      <c r="J70" s="709"/>
      <c r="K70" s="86"/>
      <c r="L70" s="13"/>
      <c r="M70" s="21"/>
      <c r="N70" s="55"/>
      <c r="O70" s="13"/>
      <c r="P70" s="90"/>
      <c r="Q70" s="74"/>
      <c r="R70" s="16"/>
      <c r="V70" s="64"/>
      <c r="W70" s="64"/>
      <c r="X70" s="64"/>
      <c r="Y70" s="72"/>
      <c r="Z70" s="72"/>
      <c r="AA70" s="64"/>
      <c r="AB70" s="70"/>
      <c r="AC70" s="64"/>
      <c r="AD70" s="66"/>
    </row>
    <row r="71" spans="3:30" s="15" customFormat="1" ht="15" customHeight="1">
      <c r="C71" s="51"/>
      <c r="D71" s="692"/>
      <c r="E71" s="51"/>
      <c r="F71" s="723"/>
      <c r="G71" s="726"/>
      <c r="H71" s="276"/>
      <c r="I71" s="710"/>
      <c r="J71" s="711"/>
      <c r="K71" s="86"/>
      <c r="L71" s="21"/>
      <c r="M71" s="21"/>
      <c r="N71" s="55"/>
      <c r="O71" s="13"/>
      <c r="P71" s="90"/>
      <c r="Q71" s="74"/>
      <c r="R71" s="16"/>
      <c r="V71" s="64"/>
      <c r="W71" s="64"/>
      <c r="X71" s="64"/>
      <c r="Y71" s="72"/>
      <c r="Z71" s="72"/>
      <c r="AA71" s="64"/>
      <c r="AB71" s="70"/>
      <c r="AC71" s="64"/>
      <c r="AD71" s="66"/>
    </row>
    <row r="72" spans="3:30" s="15" customFormat="1" ht="15" customHeight="1">
      <c r="C72" s="51"/>
      <c r="D72" s="690"/>
      <c r="E72" s="51"/>
      <c r="F72" s="704"/>
      <c r="G72" s="704"/>
      <c r="H72" s="57"/>
      <c r="I72" s="51"/>
      <c r="J72" s="21"/>
      <c r="K72" s="700" t="str">
        <f>IF(K74=0,CONCATENATE("поб.",H68,"/",H76),IF(K74=1,H68,IF(K74=2,H76,"Х")))</f>
        <v>поб.поб.//поб./</v>
      </c>
      <c r="L72" s="701"/>
      <c r="M72" s="701"/>
      <c r="N72" s="91"/>
      <c r="O72" s="13"/>
      <c r="P72" s="90"/>
      <c r="Q72" s="74"/>
      <c r="R72" s="16"/>
      <c r="V72" s="64"/>
      <c r="W72" s="64"/>
      <c r="X72" s="64"/>
      <c r="Y72" s="72"/>
      <c r="Z72" s="72"/>
      <c r="AA72" s="64"/>
      <c r="AB72" s="70"/>
      <c r="AC72" s="64"/>
      <c r="AD72" s="66"/>
    </row>
    <row r="73" spans="3:30" s="15" customFormat="1" ht="15" customHeight="1">
      <c r="C73" s="51"/>
      <c r="D73" s="690"/>
      <c r="E73" s="51"/>
      <c r="F73" s="706"/>
      <c r="G73" s="706"/>
      <c r="H73" s="57"/>
      <c r="I73" s="51"/>
      <c r="J73" s="13"/>
      <c r="K73" s="702"/>
      <c r="L73" s="703"/>
      <c r="M73" s="703"/>
      <c r="N73" s="56"/>
      <c r="O73" s="13"/>
      <c r="P73" s="90"/>
      <c r="Q73" s="74"/>
      <c r="R73" s="16"/>
      <c r="V73" s="64"/>
      <c r="W73" s="64"/>
      <c r="X73" s="64"/>
      <c r="Y73" s="72"/>
      <c r="Z73" s="72"/>
      <c r="AA73" s="64"/>
      <c r="AB73" s="70"/>
      <c r="AC73" s="64"/>
      <c r="AD73" s="66"/>
    </row>
    <row r="74" spans="3:30" s="15" customFormat="1" ht="15" customHeight="1">
      <c r="C74" s="51"/>
      <c r="D74" s="691"/>
      <c r="E74" s="51"/>
      <c r="F74" s="712">
        <f>IF(ПодгДТ!$AC$7,ПодгДТ!AC32,IF($D74="","",IF(AND($D74&lt;9,$D74&gt;=1),INDEX(ПодгДТ!$S$25:$S$32,$D74),"Х")))</f>
      </c>
      <c r="G74" s="712">
        <f>IF(ПодгДТ!$AC$7,ПодгДТ!AD32,IF($D74="","",IF(AND($D74&lt;9,$D74&gt;=1),INDEX(ПодгДТ!$O$25:$O$32,$D74),"")))</f>
      </c>
      <c r="H74" s="48"/>
      <c r="I74" s="48"/>
      <c r="J74" s="13"/>
      <c r="K74" s="104"/>
      <c r="L74" s="729"/>
      <c r="M74" s="729"/>
      <c r="N74" s="282"/>
      <c r="O74" s="13"/>
      <c r="P74" s="90"/>
      <c r="Q74" s="74"/>
      <c r="R74" s="16"/>
      <c r="V74" s="64"/>
      <c r="W74" s="64"/>
      <c r="X74" s="64"/>
      <c r="Y74" s="72"/>
      <c r="Z74" s="72"/>
      <c r="AA74" s="64"/>
      <c r="AB74" s="70"/>
      <c r="AC74" s="64"/>
      <c r="AD74" s="66"/>
    </row>
    <row r="75" spans="3:30" s="15" customFormat="1" ht="15" customHeight="1">
      <c r="C75" s="51"/>
      <c r="D75" s="692"/>
      <c r="E75" s="51"/>
      <c r="F75" s="713"/>
      <c r="G75" s="713"/>
      <c r="H75" s="48"/>
      <c r="I75" s="48"/>
      <c r="J75" s="21"/>
      <c r="K75" s="55"/>
      <c r="L75" s="730"/>
      <c r="M75" s="730"/>
      <c r="N75" s="282"/>
      <c r="O75" s="13"/>
      <c r="P75" s="90"/>
      <c r="Q75" s="74"/>
      <c r="R75" s="16"/>
      <c r="V75" s="64"/>
      <c r="W75" s="64"/>
      <c r="X75" s="64"/>
      <c r="Y75" s="72"/>
      <c r="Z75" s="72"/>
      <c r="AA75" s="64"/>
      <c r="AB75" s="70"/>
      <c r="AC75" s="64"/>
      <c r="AD75" s="66"/>
    </row>
    <row r="76" spans="3:30" s="15" customFormat="1" ht="15" customHeight="1">
      <c r="C76" s="51"/>
      <c r="D76" s="690"/>
      <c r="E76" s="51"/>
      <c r="F76" s="704"/>
      <c r="G76" s="705"/>
      <c r="H76" s="700" t="str">
        <f>IF(H78=0,CONCATENATE("поб.",F74,"/",F78),IF(H78=1,F74,IF(H78=2,F78,"Х")))</f>
        <v>поб./</v>
      </c>
      <c r="I76" s="701"/>
      <c r="J76" s="701"/>
      <c r="K76" s="53"/>
      <c r="L76" s="13"/>
      <c r="M76" s="21"/>
      <c r="N76" s="278"/>
      <c r="O76" s="13"/>
      <c r="P76" s="90"/>
      <c r="Q76" s="74"/>
      <c r="R76" s="16"/>
      <c r="V76" s="64"/>
      <c r="W76" s="64"/>
      <c r="X76" s="64"/>
      <c r="Y76" s="72"/>
      <c r="Z76" s="72"/>
      <c r="AA76" s="64"/>
      <c r="AB76" s="70"/>
      <c r="AC76" s="64"/>
      <c r="AD76" s="66"/>
    </row>
    <row r="77" spans="3:30" s="15" customFormat="1" ht="15" customHeight="1">
      <c r="C77" s="51"/>
      <c r="D77" s="690"/>
      <c r="E77" s="51"/>
      <c r="F77" s="706"/>
      <c r="G77" s="707"/>
      <c r="H77" s="702"/>
      <c r="I77" s="703"/>
      <c r="J77" s="703"/>
      <c r="K77" s="53"/>
      <c r="L77" s="13"/>
      <c r="M77" s="21"/>
      <c r="N77" s="278"/>
      <c r="O77" s="13"/>
      <c r="P77" s="90"/>
      <c r="R77" s="59"/>
      <c r="V77" s="64"/>
      <c r="W77" s="64"/>
      <c r="X77" s="64"/>
      <c r="Y77" s="64"/>
      <c r="Z77" s="65"/>
      <c r="AA77" s="64"/>
      <c r="AB77" s="70"/>
      <c r="AC77" s="65"/>
      <c r="AD77" s="66"/>
    </row>
    <row r="78" spans="3:30" s="15" customFormat="1" ht="15" customHeight="1">
      <c r="C78" s="51"/>
      <c r="D78" s="693"/>
      <c r="E78" s="51"/>
      <c r="F78" s="712">
        <f>IF(ПодгДТ!$AC$7,ПодгДТ!AC36,IF($D78="","",IF(AND($D78&lt;9,$D78&gt;=1),INDEX(ПодгДТ!$S$25:$S$32,$D78),"Х")))</f>
      </c>
      <c r="G78" s="725">
        <f>IF(ПодгДТ!$AC$7,ПодгДТ!AD36,IF($D78="","",IF(AND($D78&lt;9,$D78&gt;=1),INDEX(ПодгДТ!$O$25:$O$32,$D78),"")))</f>
      </c>
      <c r="H78" s="107"/>
      <c r="I78" s="708"/>
      <c r="J78" s="708"/>
      <c r="K78" s="85"/>
      <c r="L78" s="13"/>
      <c r="M78" s="13"/>
      <c r="N78" s="108"/>
      <c r="O78" s="13"/>
      <c r="P78" s="13"/>
      <c r="R78" s="70"/>
      <c r="V78" s="64"/>
      <c r="W78" s="64"/>
      <c r="X78" s="65"/>
      <c r="Y78" s="64"/>
      <c r="Z78" s="65"/>
      <c r="AA78" s="64"/>
      <c r="AB78" s="70"/>
      <c r="AC78" s="65"/>
      <c r="AD78" s="66"/>
    </row>
    <row r="79" spans="3:30" s="15" customFormat="1" ht="15" customHeight="1">
      <c r="C79" s="22"/>
      <c r="D79" s="694"/>
      <c r="E79" s="22"/>
      <c r="F79" s="723"/>
      <c r="G79" s="726"/>
      <c r="H79" s="276"/>
      <c r="I79" s="710"/>
      <c r="J79" s="710"/>
      <c r="K79" s="85"/>
      <c r="L79" s="13"/>
      <c r="M79" s="21"/>
      <c r="N79" s="278"/>
      <c r="O79" s="13"/>
      <c r="P79" s="21"/>
      <c r="R79" s="73"/>
      <c r="V79" s="64"/>
      <c r="W79" s="64"/>
      <c r="X79" s="64"/>
      <c r="Y79" s="64"/>
      <c r="Z79" s="64"/>
      <c r="AA79" s="64"/>
      <c r="AB79" s="70"/>
      <c r="AC79" s="65"/>
      <c r="AD79" s="66"/>
    </row>
    <row r="80" spans="3:30" s="15" customFormat="1" ht="15" customHeight="1">
      <c r="C80" s="22"/>
      <c r="D80" s="696"/>
      <c r="E80" s="22"/>
      <c r="F80" s="721"/>
      <c r="G80" s="721"/>
      <c r="H80" s="51"/>
      <c r="I80" s="51"/>
      <c r="J80" s="20"/>
      <c r="K80" s="20"/>
      <c r="L80" s="20"/>
      <c r="M80" s="20"/>
      <c r="N80" s="283"/>
      <c r="O80" s="20"/>
      <c r="P80" s="20"/>
      <c r="R80" s="73"/>
      <c r="S80" s="16"/>
      <c r="T80" s="16"/>
      <c r="V80" s="64"/>
      <c r="W80" s="64"/>
      <c r="X80" s="64"/>
      <c r="Y80" s="64"/>
      <c r="Z80" s="65"/>
      <c r="AA80" s="64"/>
      <c r="AB80" s="70"/>
      <c r="AC80" s="65"/>
      <c r="AD80" s="70"/>
    </row>
    <row r="81" spans="3:30" s="15" customFormat="1" ht="9" customHeight="1">
      <c r="C81" s="20"/>
      <c r="D81" s="697"/>
      <c r="E81" s="20"/>
      <c r="F81" s="724"/>
      <c r="G81" s="724"/>
      <c r="H81" s="51"/>
      <c r="I81" s="51"/>
      <c r="N81" s="284"/>
      <c r="R81" s="73"/>
      <c r="S81" s="16"/>
      <c r="T81" s="16"/>
      <c r="V81" s="64"/>
      <c r="W81" s="64"/>
      <c r="X81" s="64"/>
      <c r="Y81" s="64"/>
      <c r="Z81" s="64"/>
      <c r="AA81" s="64"/>
      <c r="AB81" s="64"/>
      <c r="AC81" s="64"/>
      <c r="AD81" s="65"/>
    </row>
    <row r="82" spans="3:30" s="15" customFormat="1" ht="9" customHeight="1">
      <c r="C82" s="20"/>
      <c r="D82" s="338"/>
      <c r="E82" s="20"/>
      <c r="F82" s="51"/>
      <c r="G82" s="51"/>
      <c r="H82" s="51"/>
      <c r="I82" s="51"/>
      <c r="N82" s="284"/>
      <c r="R82" s="73"/>
      <c r="S82" s="16"/>
      <c r="T82" s="16"/>
      <c r="V82" s="64"/>
      <c r="W82" s="64"/>
      <c r="X82" s="64"/>
      <c r="Y82" s="64"/>
      <c r="Z82" s="64"/>
      <c r="AA82" s="64"/>
      <c r="AB82" s="64"/>
      <c r="AC82" s="64"/>
      <c r="AD82" s="65"/>
    </row>
    <row r="83" spans="3:30" ht="15" customHeight="1">
      <c r="C83" s="695" t="str">
        <f>CONCATENATE("Для проигравших в",ПодгДТ!F52," финала")</f>
        <v>Для проигравших в 1/4 финала</v>
      </c>
      <c r="D83" s="695"/>
      <c r="E83" s="695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V83" s="64"/>
      <c r="W83" s="64"/>
      <c r="X83" s="64"/>
      <c r="Y83" s="64"/>
      <c r="Z83" s="65"/>
      <c r="AA83" s="64"/>
      <c r="AB83" s="65"/>
      <c r="AC83" s="64"/>
      <c r="AD83" s="65"/>
    </row>
    <row r="84" spans="3:30" s="15" customFormat="1" ht="15" customHeight="1">
      <c r="C84" s="695"/>
      <c r="D84" s="695"/>
      <c r="E84" s="695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V84" s="64"/>
      <c r="W84" s="64"/>
      <c r="X84" s="65"/>
      <c r="Y84" s="64"/>
      <c r="Z84" s="65"/>
      <c r="AA84" s="64"/>
      <c r="AB84" s="64"/>
      <c r="AC84" s="64"/>
      <c r="AD84" s="65"/>
    </row>
    <row r="85" spans="3:30" s="15" customFormat="1" ht="15" customHeight="1">
      <c r="C85" s="20"/>
      <c r="D85" s="20"/>
      <c r="E85" s="20"/>
      <c r="F85" s="20"/>
      <c r="G85" s="693"/>
      <c r="I85" s="712" t="str">
        <f>IF(ПодгДТ!$AE$7,ПодгДТ!AE8,IF($G85="","",IF(AND($G85&lt;5,$G85&gt;=1),INDEX(ПодгДТ!$S$34:$S$37,$G85),"Х")))</f>
        <v>ШАКИРОВА</v>
      </c>
      <c r="J85" s="701" t="str">
        <f>IF(ПодгДТ!$AE$7,ПодгДТ!AF8,IF($G85="","",IF(AND($G85&lt;5,$G85&gt;=1),INDEX(ПодгДТ!$O$34:$O$37,$G85),"")))</f>
        <v>Д.Э.</v>
      </c>
      <c r="K85" s="52"/>
      <c r="L85" s="13"/>
      <c r="M85" s="13"/>
      <c r="N85" s="108"/>
      <c r="O85" s="13"/>
      <c r="P85" s="20"/>
      <c r="R85" s="70"/>
      <c r="V85" s="72"/>
      <c r="W85" s="64"/>
      <c r="X85" s="65"/>
      <c r="Y85" s="64"/>
      <c r="Z85" s="65"/>
      <c r="AA85" s="64"/>
      <c r="AB85" s="64"/>
      <c r="AC85" s="64"/>
      <c r="AD85" s="65"/>
    </row>
    <row r="86" spans="3:30" s="15" customFormat="1" ht="15" customHeight="1">
      <c r="C86" s="20"/>
      <c r="D86" s="20"/>
      <c r="E86" s="20"/>
      <c r="F86" s="20"/>
      <c r="G86" s="694"/>
      <c r="I86" s="713"/>
      <c r="J86" s="703"/>
      <c r="K86" s="52"/>
      <c r="L86" s="21"/>
      <c r="M86" s="13"/>
      <c r="N86" s="108"/>
      <c r="O86" s="13"/>
      <c r="P86" s="20"/>
      <c r="R86" s="70"/>
      <c r="V86" s="72"/>
      <c r="W86" s="64"/>
      <c r="X86" s="65"/>
      <c r="Y86" s="64"/>
      <c r="Z86" s="65"/>
      <c r="AA86" s="64"/>
      <c r="AB86" s="64"/>
      <c r="AC86" s="64"/>
      <c r="AD86" s="65"/>
    </row>
    <row r="87" spans="3:30" s="15" customFormat="1" ht="15" customHeight="1">
      <c r="C87" s="20"/>
      <c r="D87" s="20"/>
      <c r="E87" s="20"/>
      <c r="F87" s="20"/>
      <c r="G87" s="690"/>
      <c r="I87" s="704"/>
      <c r="J87" s="705"/>
      <c r="K87" s="700" t="str">
        <f>IF(K89=0,CONCATENATE("поб.",I85,"/",I89),IF(K89=1,I85,IF(K89=2,I89,"Х")))</f>
        <v>поб.ШАКИРОВА/ШИМАРИНА</v>
      </c>
      <c r="L87" s="701"/>
      <c r="M87" s="701"/>
      <c r="N87" s="52"/>
      <c r="O87" s="21"/>
      <c r="P87" s="20"/>
      <c r="R87" s="70"/>
      <c r="V87" s="72"/>
      <c r="W87" s="64"/>
      <c r="X87" s="65"/>
      <c r="Y87" s="64"/>
      <c r="Z87" s="65"/>
      <c r="AA87" s="64"/>
      <c r="AB87" s="64"/>
      <c r="AC87" s="64"/>
      <c r="AD87" s="65"/>
    </row>
    <row r="88" spans="3:30" s="15" customFormat="1" ht="15" customHeight="1">
      <c r="C88" s="20"/>
      <c r="D88" s="20"/>
      <c r="E88" s="20"/>
      <c r="F88" s="20"/>
      <c r="G88" s="690"/>
      <c r="I88" s="733"/>
      <c r="J88" s="707"/>
      <c r="K88" s="702"/>
      <c r="L88" s="703"/>
      <c r="M88" s="703"/>
      <c r="N88" s="52"/>
      <c r="O88" s="21"/>
      <c r="P88" s="20"/>
      <c r="R88" s="70"/>
      <c r="V88" s="72"/>
      <c r="W88" s="64"/>
      <c r="X88" s="65"/>
      <c r="Y88" s="64"/>
      <c r="Z88" s="65"/>
      <c r="AA88" s="64"/>
      <c r="AB88" s="64"/>
      <c r="AC88" s="64"/>
      <c r="AD88" s="65"/>
    </row>
    <row r="89" spans="3:30" s="15" customFormat="1" ht="15" customHeight="1">
      <c r="C89" s="20"/>
      <c r="D89" s="20"/>
      <c r="E89" s="20"/>
      <c r="F89" s="20"/>
      <c r="G89" s="691"/>
      <c r="I89" s="712" t="str">
        <f>IF(ПодгДТ!$AE$7,ПодгДТ!AE12,IF($G89="","",IF(AND($G89&lt;5,$G89&gt;=1),INDEX(ПодгДТ!$S$34:$S$37,$G89),"Х")))</f>
        <v>ШИМАРИНА</v>
      </c>
      <c r="J89" s="734" t="str">
        <f>IF(ПодгДТ!$AE$7,ПодгДТ!AF12,IF($G89="","",IF(AND($G89&lt;5,$G89&gt;=1),INDEX(ПодгДТ!$O$34:$O$37,$G89),"")))</f>
        <v>Л.С.</v>
      </c>
      <c r="K89" s="103"/>
      <c r="L89" s="729"/>
      <c r="M89" s="729"/>
      <c r="N89" s="280"/>
      <c r="O89" s="21"/>
      <c r="P89" s="20"/>
      <c r="R89" s="70"/>
      <c r="V89" s="72"/>
      <c r="W89" s="64"/>
      <c r="X89" s="65"/>
      <c r="Y89" s="64"/>
      <c r="Z89" s="65"/>
      <c r="AA89" s="64"/>
      <c r="AB89" s="64"/>
      <c r="AC89" s="64"/>
      <c r="AD89" s="65"/>
    </row>
    <row r="90" spans="3:30" s="15" customFormat="1" ht="15" customHeight="1">
      <c r="C90" s="20"/>
      <c r="D90" s="20"/>
      <c r="E90" s="20"/>
      <c r="F90" s="20"/>
      <c r="G90" s="692"/>
      <c r="I90" s="713"/>
      <c r="J90" s="728"/>
      <c r="K90" s="53"/>
      <c r="L90" s="730"/>
      <c r="M90" s="730"/>
      <c r="N90" s="280"/>
      <c r="O90" s="13"/>
      <c r="P90" s="20"/>
      <c r="R90" s="70"/>
      <c r="V90" s="72"/>
      <c r="W90" s="64"/>
      <c r="X90" s="65"/>
      <c r="Y90" s="64"/>
      <c r="Z90" s="65"/>
      <c r="AA90" s="64"/>
      <c r="AB90" s="64"/>
      <c r="AC90" s="64"/>
      <c r="AD90" s="65"/>
    </row>
    <row r="91" spans="3:30" s="15" customFormat="1" ht="15" customHeight="1">
      <c r="C91" s="20"/>
      <c r="D91" s="20"/>
      <c r="E91" s="20"/>
      <c r="F91" s="20"/>
      <c r="G91" s="690"/>
      <c r="I91" s="704"/>
      <c r="J91" s="704"/>
      <c r="K91" s="57"/>
      <c r="L91" s="21"/>
      <c r="M91" s="13"/>
      <c r="N91" s="700" t="str">
        <f>IF(N93=0,CONCATENATE("поб.",K87,"/",K95),IF(N93=1,K87,IF(N93=2,K95,"Х")))</f>
        <v>поб.поб.ШАКИРОВА/ШИМАРИНА/поб.НИГМЕДЗЯНОВА/МАТВЕЕВА</v>
      </c>
      <c r="O91" s="701"/>
      <c r="P91" s="701"/>
      <c r="R91" s="70"/>
      <c r="V91" s="72"/>
      <c r="W91" s="64"/>
      <c r="X91" s="65"/>
      <c r="Y91" s="64"/>
      <c r="Z91" s="65"/>
      <c r="AA91" s="64"/>
      <c r="AB91" s="64"/>
      <c r="AC91" s="64"/>
      <c r="AD91" s="65"/>
    </row>
    <row r="92" spans="3:30" s="15" customFormat="1" ht="15" customHeight="1">
      <c r="C92" s="20"/>
      <c r="D92" s="20"/>
      <c r="E92" s="20"/>
      <c r="F92" s="20"/>
      <c r="G92" s="690"/>
      <c r="I92" s="733"/>
      <c r="J92" s="733"/>
      <c r="K92" s="285"/>
      <c r="L92" s="13"/>
      <c r="M92" s="22"/>
      <c r="N92" s="702"/>
      <c r="O92" s="703"/>
      <c r="P92" s="703"/>
      <c r="R92" s="70"/>
      <c r="V92" s="72"/>
      <c r="W92" s="64"/>
      <c r="X92" s="65"/>
      <c r="Y92" s="64"/>
      <c r="Z92" s="65"/>
      <c r="AA92" s="64"/>
      <c r="AB92" s="64"/>
      <c r="AC92" s="64"/>
      <c r="AD92" s="65"/>
    </row>
    <row r="93" spans="3:30" s="15" customFormat="1" ht="15" customHeight="1">
      <c r="C93" s="20"/>
      <c r="D93" s="20"/>
      <c r="E93" s="20"/>
      <c r="F93" s="20"/>
      <c r="G93" s="691"/>
      <c r="I93" s="712" t="str">
        <f>IF(ПодгДТ!$AE$7,ПодгДТ!AE16,IF($G93="","",IF(AND($G93&lt;5,$G93&gt;=1),INDEX(ПодгДТ!$S$34:$S$37,$G93),"Х")))</f>
        <v>НИГМЕДЗЯНОВА</v>
      </c>
      <c r="J93" s="701" t="str">
        <f>IF(ПодгДТ!$AE$7,ПодгДТ!AF16,IF($G93="","",IF(AND($G93&lt;5,$G93&gt;=1),INDEX(ПодгДТ!$O$34:$O$37,$G93),"")))</f>
        <v>Д.И.</v>
      </c>
      <c r="K93" s="52"/>
      <c r="L93" s="13"/>
      <c r="M93" s="13"/>
      <c r="N93" s="104"/>
      <c r="O93" s="729"/>
      <c r="P93" s="729"/>
      <c r="R93" s="70"/>
      <c r="V93" s="72"/>
      <c r="W93" s="64"/>
      <c r="X93" s="65"/>
      <c r="Y93" s="64"/>
      <c r="Z93" s="65"/>
      <c r="AA93" s="64"/>
      <c r="AB93" s="64"/>
      <c r="AC93" s="64"/>
      <c r="AD93" s="65"/>
    </row>
    <row r="94" spans="3:30" s="15" customFormat="1" ht="15" customHeight="1">
      <c r="C94" s="20"/>
      <c r="D94" s="20"/>
      <c r="E94" s="20"/>
      <c r="F94" s="20"/>
      <c r="G94" s="692"/>
      <c r="I94" s="713"/>
      <c r="J94" s="703"/>
      <c r="K94" s="52"/>
      <c r="L94" s="21"/>
      <c r="M94" s="13"/>
      <c r="N94" s="89"/>
      <c r="O94" s="730"/>
      <c r="P94" s="730"/>
      <c r="R94" s="70"/>
      <c r="V94" s="72"/>
      <c r="W94" s="64"/>
      <c r="X94" s="65"/>
      <c r="Y94" s="64"/>
      <c r="Z94" s="65"/>
      <c r="AA94" s="64"/>
      <c r="AB94" s="64"/>
      <c r="AC94" s="64"/>
      <c r="AD94" s="65"/>
    </row>
    <row r="95" spans="3:30" s="15" customFormat="1" ht="15" customHeight="1">
      <c r="C95" s="20"/>
      <c r="D95" s="20"/>
      <c r="E95" s="20"/>
      <c r="F95" s="20"/>
      <c r="G95" s="690"/>
      <c r="I95" s="704"/>
      <c r="J95" s="705"/>
      <c r="K95" s="700" t="str">
        <f>IF(K97=0,CONCATENATE("поб.",I93,"/",I97),IF(K97=1,I93,IF(K97=2,I97,"Х")))</f>
        <v>поб.НИГМЕДЗЯНОВА/МАТВЕЕВА</v>
      </c>
      <c r="L95" s="701"/>
      <c r="M95" s="701"/>
      <c r="N95" s="53"/>
      <c r="O95" s="13"/>
      <c r="P95" s="20"/>
      <c r="R95" s="70"/>
      <c r="V95" s="72"/>
      <c r="W95" s="64"/>
      <c r="X95" s="65"/>
      <c r="Y95" s="64"/>
      <c r="Z95" s="65"/>
      <c r="AA95" s="64"/>
      <c r="AB95" s="64"/>
      <c r="AC95" s="64"/>
      <c r="AD95" s="65"/>
    </row>
    <row r="96" spans="3:30" s="15" customFormat="1" ht="15" customHeight="1">
      <c r="C96" s="20"/>
      <c r="D96" s="20"/>
      <c r="E96" s="20"/>
      <c r="F96" s="20"/>
      <c r="G96" s="690"/>
      <c r="I96" s="733"/>
      <c r="J96" s="707"/>
      <c r="K96" s="702"/>
      <c r="L96" s="703"/>
      <c r="M96" s="703"/>
      <c r="N96" s="53"/>
      <c r="O96" s="21"/>
      <c r="P96" s="20"/>
      <c r="R96" s="70"/>
      <c r="V96" s="72"/>
      <c r="W96" s="64"/>
      <c r="X96" s="65"/>
      <c r="Y96" s="64"/>
      <c r="Z96" s="65"/>
      <c r="AA96" s="64"/>
      <c r="AB96" s="64"/>
      <c r="AC96" s="64"/>
      <c r="AD96" s="65"/>
    </row>
    <row r="97" spans="3:30" s="15" customFormat="1" ht="15" customHeight="1">
      <c r="C97" s="20"/>
      <c r="D97" s="20"/>
      <c r="E97" s="20"/>
      <c r="F97" s="20"/>
      <c r="G97" s="693"/>
      <c r="I97" s="712" t="str">
        <f>IF(ПодгДТ!$AE$7,ПодгДТ!AE20,IF($G97="","",IF(AND($G97&lt;5,$G97&gt;=1),INDEX(ПодгДТ!$S$34:$S$37,$G97),"Х")))</f>
        <v>МАТВЕЕВА</v>
      </c>
      <c r="J97" s="734" t="str">
        <f>IF(ПодгДТ!$AE$7,ПодгДТ!AF20,IF($G97="","",IF(AND($G97&lt;5,$G97&gt;=1),INDEX(ПодгДТ!$O$34:$O$37,$G97),"")))</f>
        <v>Е.А.</v>
      </c>
      <c r="K97" s="103"/>
      <c r="L97" s="729"/>
      <c r="M97" s="729"/>
      <c r="N97" s="269"/>
      <c r="O97" s="13"/>
      <c r="P97" s="20"/>
      <c r="R97" s="70"/>
      <c r="V97" s="72"/>
      <c r="W97" s="64"/>
      <c r="X97" s="65"/>
      <c r="Y97" s="64"/>
      <c r="Z97" s="65"/>
      <c r="AA97" s="64"/>
      <c r="AB97" s="64"/>
      <c r="AC97" s="64"/>
      <c r="AD97" s="65"/>
    </row>
    <row r="98" spans="3:30" s="15" customFormat="1" ht="15" customHeight="1">
      <c r="C98" s="20"/>
      <c r="D98" s="20"/>
      <c r="E98" s="20"/>
      <c r="F98" s="20"/>
      <c r="G98" s="694"/>
      <c r="I98" s="713"/>
      <c r="J98" s="728"/>
      <c r="K98" s="53"/>
      <c r="L98" s="730"/>
      <c r="M98" s="730"/>
      <c r="N98" s="269"/>
      <c r="O98" s="21"/>
      <c r="P98" s="20"/>
      <c r="R98" s="70"/>
      <c r="V98" s="72"/>
      <c r="W98" s="64"/>
      <c r="X98" s="65"/>
      <c r="Y98" s="64"/>
      <c r="Z98" s="65"/>
      <c r="AA98" s="64"/>
      <c r="AB98" s="64"/>
      <c r="AC98" s="64"/>
      <c r="AD98" s="65"/>
    </row>
    <row r="99" spans="3:30" s="15" customFormat="1" ht="15" customHeight="1">
      <c r="C99" s="20"/>
      <c r="D99" s="20"/>
      <c r="E99" s="20"/>
      <c r="F99" s="20"/>
      <c r="G99" s="16"/>
      <c r="H99" s="16"/>
      <c r="I99" s="721"/>
      <c r="J99" s="721"/>
      <c r="K99" s="57"/>
      <c r="L99" s="13"/>
      <c r="M99" s="13"/>
      <c r="N99" s="13"/>
      <c r="O99" s="13"/>
      <c r="P99" s="92"/>
      <c r="R99" s="70"/>
      <c r="V99" s="72"/>
      <c r="W99" s="64"/>
      <c r="X99" s="65"/>
      <c r="Y99" s="64"/>
      <c r="Z99" s="65"/>
      <c r="AA99" s="64"/>
      <c r="AB99" s="64"/>
      <c r="AC99" s="64"/>
      <c r="AD99" s="65"/>
    </row>
    <row r="100" spans="3:30" s="15" customFormat="1" ht="9" customHeight="1">
      <c r="C100" s="20"/>
      <c r="D100" s="20"/>
      <c r="E100" s="20"/>
      <c r="F100" s="20"/>
      <c r="G100" s="16"/>
      <c r="H100" s="16"/>
      <c r="I100" s="722"/>
      <c r="J100" s="722"/>
      <c r="K100" s="285"/>
      <c r="L100" s="13"/>
      <c r="M100" s="13"/>
      <c r="N100" s="13"/>
      <c r="O100" s="13"/>
      <c r="P100" s="92"/>
      <c r="R100" s="70"/>
      <c r="V100" s="72"/>
      <c r="W100" s="64"/>
      <c r="X100" s="65"/>
      <c r="Y100" s="64"/>
      <c r="Z100" s="65"/>
      <c r="AA100" s="64"/>
      <c r="AB100" s="64"/>
      <c r="AC100" s="64"/>
      <c r="AD100" s="65"/>
    </row>
    <row r="101" spans="3:18" s="15" customFormat="1" ht="7.5" customHeight="1">
      <c r="C101" s="20"/>
      <c r="D101" s="20"/>
      <c r="E101" s="20"/>
      <c r="F101" s="20"/>
      <c r="G101" s="16"/>
      <c r="H101" s="16"/>
      <c r="I101" s="16"/>
      <c r="J101" s="72"/>
      <c r="K101" s="286"/>
      <c r="L101" s="64"/>
      <c r="M101" s="65"/>
      <c r="N101" s="65"/>
      <c r="O101" s="64"/>
      <c r="P101" s="70"/>
      <c r="R101" s="16"/>
    </row>
    <row r="102" spans="3:15" s="102" customFormat="1" ht="12.75" customHeight="1">
      <c r="C102" s="718" t="s">
        <v>2</v>
      </c>
      <c r="D102" s="718"/>
      <c r="E102" s="718"/>
      <c r="F102" s="101"/>
      <c r="G102" s="719"/>
      <c r="H102" s="719"/>
      <c r="I102" s="719"/>
      <c r="J102" s="703" t="str">
        <f>UPPER(Установка!C11)</f>
        <v>ГОРШЕНИН Э.А.</v>
      </c>
      <c r="K102" s="703"/>
      <c r="L102" s="703"/>
      <c r="M102" s="703"/>
      <c r="N102" s="94"/>
      <c r="O102" s="94"/>
    </row>
    <row r="103" spans="3:16" s="76" customFormat="1" ht="13.5" customHeight="1">
      <c r="C103" s="82"/>
      <c r="D103" s="82"/>
      <c r="E103" s="82"/>
      <c r="F103" s="82"/>
      <c r="G103" s="720" t="s">
        <v>41</v>
      </c>
      <c r="H103" s="720"/>
      <c r="I103" s="720"/>
      <c r="J103" s="760" t="s">
        <v>42</v>
      </c>
      <c r="K103" s="760"/>
      <c r="L103" s="760"/>
      <c r="M103" s="760"/>
      <c r="N103" s="77"/>
      <c r="O103" s="78"/>
      <c r="P103" s="79"/>
    </row>
    <row r="104" spans="3:6" s="15" customFormat="1" ht="7.5" customHeight="1">
      <c r="C104" s="20"/>
      <c r="D104" s="20"/>
      <c r="E104" s="20"/>
      <c r="F104" s="20"/>
    </row>
    <row r="105" spans="3:15" s="102" customFormat="1" ht="12.75" customHeight="1">
      <c r="C105" s="718" t="s">
        <v>7</v>
      </c>
      <c r="D105" s="718"/>
      <c r="E105" s="718"/>
      <c r="F105" s="101"/>
      <c r="G105" s="25"/>
      <c r="H105" s="25"/>
      <c r="I105" s="25"/>
      <c r="J105" s="703" t="str">
        <f>UPPER(Установка!C12)</f>
        <v>СУРЧЕНКО А.А.</v>
      </c>
      <c r="K105" s="703"/>
      <c r="L105" s="703"/>
      <c r="M105" s="703"/>
      <c r="N105" s="94"/>
      <c r="O105" s="94"/>
    </row>
    <row r="106" spans="3:16" s="76" customFormat="1" ht="13.5" customHeight="1">
      <c r="C106" s="82"/>
      <c r="D106" s="82"/>
      <c r="E106" s="82"/>
      <c r="F106" s="82"/>
      <c r="G106" s="761" t="s">
        <v>41</v>
      </c>
      <c r="H106" s="761"/>
      <c r="I106" s="761"/>
      <c r="J106" s="761" t="s">
        <v>42</v>
      </c>
      <c r="K106" s="761"/>
      <c r="L106" s="761"/>
      <c r="M106" s="761"/>
      <c r="N106" s="77"/>
      <c r="O106" s="78"/>
      <c r="P106" s="79"/>
    </row>
    <row r="107" spans="3:16" s="15" customFormat="1" ht="7.5" customHeight="1">
      <c r="C107" s="20"/>
      <c r="D107" s="20"/>
      <c r="E107" s="20"/>
      <c r="F107" s="20"/>
      <c r="G107" s="16"/>
      <c r="H107" s="16"/>
      <c r="I107" s="16"/>
      <c r="J107" s="65"/>
      <c r="K107" s="65"/>
      <c r="L107" s="72"/>
      <c r="M107" s="72"/>
      <c r="N107" s="72"/>
      <c r="O107" s="64"/>
      <c r="P107" s="70"/>
    </row>
    <row r="108" spans="3:16" s="15" customFormat="1" ht="7.5" customHeight="1">
      <c r="C108" s="20"/>
      <c r="D108" s="20"/>
      <c r="E108" s="20"/>
      <c r="F108" s="20"/>
      <c r="G108" s="16"/>
      <c r="H108" s="16"/>
      <c r="I108" s="16"/>
      <c r="J108" s="64"/>
      <c r="K108" s="64"/>
      <c r="L108" s="72"/>
      <c r="M108" s="72"/>
      <c r="N108" s="72"/>
      <c r="O108" s="64"/>
      <c r="P108" s="70"/>
    </row>
    <row r="109" spans="3:17" s="15" customFormat="1" ht="7.5" customHeight="1">
      <c r="C109" s="20"/>
      <c r="D109" s="20"/>
      <c r="E109" s="20"/>
      <c r="F109" s="20"/>
      <c r="G109" s="16"/>
      <c r="H109" s="16"/>
      <c r="I109" s="16"/>
      <c r="J109" s="64"/>
      <c r="K109" s="64"/>
      <c r="L109" s="64"/>
      <c r="M109" s="65"/>
      <c r="N109" s="65"/>
      <c r="O109" s="64"/>
      <c r="P109" s="70"/>
      <c r="Q109" s="59"/>
    </row>
    <row r="110" spans="3:17" s="15" customFormat="1" ht="7.5" customHeight="1">
      <c r="C110" s="20"/>
      <c r="D110" s="20"/>
      <c r="E110" s="20"/>
      <c r="F110" s="20"/>
      <c r="G110" s="16"/>
      <c r="H110" s="16"/>
      <c r="I110" s="16"/>
      <c r="J110" s="65"/>
      <c r="K110" s="65"/>
      <c r="L110" s="64"/>
      <c r="M110" s="65"/>
      <c r="N110" s="65"/>
      <c r="O110" s="64"/>
      <c r="P110" s="70"/>
      <c r="Q110" s="70"/>
    </row>
    <row r="111" spans="3:17" s="15" customFormat="1" ht="7.5" customHeight="1">
      <c r="C111" s="20"/>
      <c r="D111" s="20"/>
      <c r="E111" s="20"/>
      <c r="F111" s="20"/>
      <c r="G111" s="16"/>
      <c r="H111" s="16"/>
      <c r="I111" s="16"/>
      <c r="J111" s="72"/>
      <c r="K111" s="72"/>
      <c r="L111" s="64"/>
      <c r="M111" s="64"/>
      <c r="N111" s="64"/>
      <c r="O111" s="64"/>
      <c r="P111" s="70"/>
      <c r="Q111" s="73"/>
    </row>
    <row r="112" spans="3:17" s="15" customFormat="1" ht="7.5" customHeight="1">
      <c r="C112" s="20"/>
      <c r="D112" s="20"/>
      <c r="E112" s="20"/>
      <c r="F112" s="20"/>
      <c r="G112" s="16"/>
      <c r="H112" s="16"/>
      <c r="I112" s="16"/>
      <c r="J112" s="72"/>
      <c r="K112" s="72"/>
      <c r="L112" s="64"/>
      <c r="M112" s="65"/>
      <c r="N112" s="65"/>
      <c r="O112" s="64"/>
      <c r="P112" s="70"/>
      <c r="Q112" s="73"/>
    </row>
    <row r="113" spans="3:17" s="15" customFormat="1" ht="11.25" customHeight="1">
      <c r="C113" s="20"/>
      <c r="D113" s="20"/>
      <c r="E113" s="20"/>
      <c r="F113" s="20"/>
      <c r="J113" s="70"/>
      <c r="K113" s="70"/>
      <c r="L113" s="70"/>
      <c r="M113" s="70"/>
      <c r="N113" s="70"/>
      <c r="O113" s="70"/>
      <c r="P113" s="70"/>
      <c r="Q113" s="70"/>
    </row>
    <row r="114" spans="3:17" s="15" customFormat="1" ht="11.25" customHeight="1">
      <c r="C114" s="20"/>
      <c r="D114" s="20"/>
      <c r="E114" s="20"/>
      <c r="F114" s="20"/>
      <c r="J114" s="80"/>
      <c r="K114" s="80"/>
      <c r="L114" s="80"/>
      <c r="M114" s="73"/>
      <c r="N114" s="73"/>
      <c r="O114" s="73"/>
      <c r="P114" s="70"/>
      <c r="Q114" s="70"/>
    </row>
    <row r="115" spans="3:17" s="15" customFormat="1" ht="11.25" customHeight="1">
      <c r="C115" s="20"/>
      <c r="D115" s="20"/>
      <c r="E115" s="20"/>
      <c r="F115" s="20"/>
      <c r="J115" s="70"/>
      <c r="K115" s="70"/>
      <c r="L115" s="70"/>
      <c r="M115" s="70"/>
      <c r="N115" s="70"/>
      <c r="O115" s="70"/>
      <c r="P115" s="73"/>
      <c r="Q115" s="73"/>
    </row>
    <row r="116" spans="3:6" s="15" customFormat="1" ht="11.25" customHeight="1">
      <c r="C116" s="20"/>
      <c r="D116" s="20"/>
      <c r="E116" s="20"/>
      <c r="F116" s="20"/>
    </row>
    <row r="117" spans="3:17" s="15" customFormat="1" ht="11.25" customHeight="1">
      <c r="C117" s="20"/>
      <c r="D117" s="20"/>
      <c r="E117" s="20"/>
      <c r="F117" s="20"/>
      <c r="J117" s="16"/>
      <c r="K117" s="16"/>
      <c r="L117" s="16"/>
      <c r="M117" s="16"/>
      <c r="N117" s="16"/>
      <c r="O117" s="16"/>
      <c r="P117" s="16"/>
      <c r="Q117" s="16"/>
    </row>
    <row r="118" spans="3:11" s="15" customFormat="1" ht="11.25" customHeight="1">
      <c r="C118" s="20"/>
      <c r="D118" s="20"/>
      <c r="E118" s="20"/>
      <c r="F118" s="20"/>
      <c r="J118" s="16"/>
      <c r="K118" s="16"/>
    </row>
    <row r="119" spans="3:11" s="15" customFormat="1" ht="11.25" customHeight="1">
      <c r="C119" s="20"/>
      <c r="D119" s="20"/>
      <c r="E119" s="20"/>
      <c r="F119" s="20"/>
      <c r="J119" s="16"/>
      <c r="K119" s="16"/>
    </row>
    <row r="120" spans="3:11" s="15" customFormat="1" ht="11.25" customHeight="1">
      <c r="C120" s="20"/>
      <c r="D120" s="20"/>
      <c r="E120" s="20"/>
      <c r="F120" s="20"/>
      <c r="J120" s="16"/>
      <c r="K120" s="16"/>
    </row>
    <row r="121" spans="1:6" s="15" customFormat="1" ht="11.25" customHeight="1" hidden="1">
      <c r="A121" s="347" t="b">
        <v>0</v>
      </c>
      <c r="C121" s="20"/>
      <c r="D121" s="20"/>
      <c r="E121" s="20"/>
      <c r="F121" s="20"/>
    </row>
    <row r="122" spans="3:11" s="15" customFormat="1" ht="11.25" customHeight="1">
      <c r="C122" s="20"/>
      <c r="D122" s="20"/>
      <c r="E122" s="20"/>
      <c r="F122" s="20"/>
      <c r="J122" s="16"/>
      <c r="K122" s="16"/>
    </row>
    <row r="123" spans="3:11" s="15" customFormat="1" ht="11.25" customHeight="1">
      <c r="C123" s="20"/>
      <c r="D123" s="20"/>
      <c r="E123" s="20"/>
      <c r="F123" s="20"/>
      <c r="J123" s="16"/>
      <c r="K123" s="16"/>
    </row>
    <row r="124" spans="3:11" s="15" customFormat="1" ht="11.25" customHeight="1">
      <c r="C124" s="20"/>
      <c r="D124" s="20"/>
      <c r="E124" s="20"/>
      <c r="F124" s="20"/>
      <c r="J124" s="16"/>
      <c r="K124" s="16"/>
    </row>
    <row r="125" spans="3:11" s="15" customFormat="1" ht="11.25" customHeight="1">
      <c r="C125" s="20"/>
      <c r="D125" s="20"/>
      <c r="E125" s="20"/>
      <c r="F125" s="20"/>
      <c r="J125" s="16"/>
      <c r="K125" s="16"/>
    </row>
    <row r="126" spans="3:11" s="15" customFormat="1" ht="11.25" customHeight="1">
      <c r="C126" s="20"/>
      <c r="D126" s="20"/>
      <c r="E126" s="20"/>
      <c r="F126" s="20"/>
      <c r="J126" s="16"/>
      <c r="K126" s="16"/>
    </row>
    <row r="127" spans="3:11" s="15" customFormat="1" ht="11.25" customHeight="1">
      <c r="C127" s="20"/>
      <c r="D127" s="20"/>
      <c r="E127" s="20"/>
      <c r="F127" s="20"/>
      <c r="J127" s="16"/>
      <c r="K127" s="16"/>
    </row>
    <row r="128" spans="3:11" s="15" customFormat="1" ht="11.25" customHeight="1">
      <c r="C128" s="20"/>
      <c r="D128" s="20"/>
      <c r="E128" s="20"/>
      <c r="F128" s="20"/>
      <c r="J128" s="16"/>
      <c r="K128" s="16"/>
    </row>
    <row r="129" spans="3:11" s="15" customFormat="1" ht="11.25" customHeight="1">
      <c r="C129" s="20"/>
      <c r="D129" s="20"/>
      <c r="E129" s="20"/>
      <c r="F129" s="20"/>
      <c r="J129" s="16"/>
      <c r="K129" s="16"/>
    </row>
    <row r="130" spans="3:11" s="15" customFormat="1" ht="11.25" customHeight="1">
      <c r="C130" s="20"/>
      <c r="D130" s="20"/>
      <c r="E130" s="20"/>
      <c r="F130" s="20"/>
      <c r="J130" s="16"/>
      <c r="K130" s="16"/>
    </row>
    <row r="131" spans="3:11" s="15" customFormat="1" ht="11.25" customHeight="1">
      <c r="C131" s="20"/>
      <c r="D131" s="20"/>
      <c r="E131" s="20"/>
      <c r="F131" s="20"/>
      <c r="J131" s="16"/>
      <c r="K131" s="16"/>
    </row>
    <row r="132" spans="3:11" s="15" customFormat="1" ht="11.25" customHeight="1">
      <c r="C132" s="20"/>
      <c r="D132" s="20"/>
      <c r="E132" s="20"/>
      <c r="F132" s="20"/>
      <c r="J132" s="16"/>
      <c r="K132" s="16"/>
    </row>
    <row r="133" spans="3:11" s="15" customFormat="1" ht="11.25" customHeight="1">
      <c r="C133" s="20"/>
      <c r="D133" s="20"/>
      <c r="E133" s="20"/>
      <c r="F133" s="20"/>
      <c r="J133" s="16"/>
      <c r="K133" s="16"/>
    </row>
    <row r="134" spans="3:11" s="15" customFormat="1" ht="11.25" customHeight="1">
      <c r="C134" s="20"/>
      <c r="D134" s="20"/>
      <c r="E134" s="20"/>
      <c r="F134" s="20"/>
      <c r="J134" s="16"/>
      <c r="K134" s="16"/>
    </row>
    <row r="135" spans="3:11" s="15" customFormat="1" ht="11.25" customHeight="1">
      <c r="C135" s="20"/>
      <c r="D135" s="20"/>
      <c r="E135" s="20"/>
      <c r="F135" s="20"/>
      <c r="J135" s="16"/>
      <c r="K135" s="16"/>
    </row>
    <row r="136" spans="3:11" s="15" customFormat="1" ht="11.25" customHeight="1">
      <c r="C136" s="20"/>
      <c r="D136" s="20"/>
      <c r="E136" s="20"/>
      <c r="F136" s="20"/>
      <c r="J136" s="16"/>
      <c r="K136" s="16"/>
    </row>
    <row r="137" spans="3:11" s="15" customFormat="1" ht="11.25" customHeight="1">
      <c r="C137" s="20"/>
      <c r="D137" s="20"/>
      <c r="E137" s="20"/>
      <c r="F137" s="20"/>
      <c r="J137" s="16"/>
      <c r="K137" s="16"/>
    </row>
    <row r="138" spans="3:11" s="15" customFormat="1" ht="11.25" customHeight="1">
      <c r="C138" s="20"/>
      <c r="D138" s="20"/>
      <c r="E138" s="20"/>
      <c r="F138" s="20"/>
      <c r="J138" s="16"/>
      <c r="K138" s="16"/>
    </row>
    <row r="139" spans="3:11" s="15" customFormat="1" ht="11.25" customHeight="1">
      <c r="C139" s="20"/>
      <c r="D139" s="20"/>
      <c r="E139" s="20"/>
      <c r="F139" s="20"/>
      <c r="J139" s="16"/>
      <c r="K139" s="16"/>
    </row>
    <row r="140" spans="3:11" s="15" customFormat="1" ht="11.25" customHeight="1">
      <c r="C140" s="20"/>
      <c r="D140" s="20"/>
      <c r="E140" s="20"/>
      <c r="F140" s="20"/>
      <c r="J140" s="16"/>
      <c r="K140" s="16"/>
    </row>
    <row r="141" spans="3:11" s="15" customFormat="1" ht="11.25" customHeight="1">
      <c r="C141" s="20"/>
      <c r="D141" s="20"/>
      <c r="E141" s="20"/>
      <c r="F141" s="20"/>
      <c r="J141" s="16"/>
      <c r="K141" s="16"/>
    </row>
    <row r="142" spans="3:11" s="15" customFormat="1" ht="11.25" customHeight="1">
      <c r="C142" s="20"/>
      <c r="D142" s="20"/>
      <c r="E142" s="20"/>
      <c r="F142" s="20"/>
      <c r="J142" s="16"/>
      <c r="K142" s="16"/>
    </row>
    <row r="143" spans="3:11" s="15" customFormat="1" ht="11.25" customHeight="1">
      <c r="C143" s="20"/>
      <c r="D143" s="20"/>
      <c r="E143" s="20"/>
      <c r="F143" s="20"/>
      <c r="J143" s="16"/>
      <c r="K143" s="16"/>
    </row>
    <row r="144" spans="3:11" s="15" customFormat="1" ht="11.25" customHeight="1">
      <c r="C144" s="20"/>
      <c r="D144" s="20"/>
      <c r="E144" s="20"/>
      <c r="F144" s="20"/>
      <c r="J144" s="16"/>
      <c r="K144" s="16"/>
    </row>
    <row r="145" spans="3:11" s="15" customFormat="1" ht="11.25" customHeight="1">
      <c r="C145" s="20"/>
      <c r="D145" s="20"/>
      <c r="E145" s="20"/>
      <c r="F145" s="20"/>
      <c r="J145" s="16"/>
      <c r="K145" s="16"/>
    </row>
    <row r="146" spans="3:11" s="15" customFormat="1" ht="11.25" customHeight="1">
      <c r="C146" s="20"/>
      <c r="D146" s="20"/>
      <c r="E146" s="20"/>
      <c r="F146" s="20"/>
      <c r="J146" s="16"/>
      <c r="K146" s="16"/>
    </row>
    <row r="147" spans="3:11" s="15" customFormat="1" ht="11.25" customHeight="1">
      <c r="C147" s="20"/>
      <c r="D147" s="20"/>
      <c r="E147" s="20"/>
      <c r="F147" s="20"/>
      <c r="J147" s="16"/>
      <c r="K147" s="16"/>
    </row>
    <row r="148" spans="3:11" s="15" customFormat="1" ht="11.25" customHeight="1">
      <c r="C148" s="20"/>
      <c r="D148" s="20"/>
      <c r="E148" s="20"/>
      <c r="F148" s="20"/>
      <c r="J148" s="16"/>
      <c r="K148" s="16"/>
    </row>
    <row r="149" spans="3:11" s="15" customFormat="1" ht="11.25" customHeight="1">
      <c r="C149" s="20"/>
      <c r="D149" s="20"/>
      <c r="E149" s="20"/>
      <c r="F149" s="20"/>
      <c r="J149" s="16"/>
      <c r="K149" s="16"/>
    </row>
    <row r="150" spans="3:11" s="15" customFormat="1" ht="11.25" customHeight="1">
      <c r="C150" s="20"/>
      <c r="D150" s="20"/>
      <c r="E150" s="20"/>
      <c r="F150" s="20"/>
      <c r="J150" s="16"/>
      <c r="K150" s="16"/>
    </row>
    <row r="151" spans="3:11" s="15" customFormat="1" ht="11.25" customHeight="1">
      <c r="C151" s="20"/>
      <c r="D151" s="20"/>
      <c r="E151" s="20"/>
      <c r="F151" s="20"/>
      <c r="J151" s="16"/>
      <c r="K151" s="16"/>
    </row>
    <row r="152" spans="3:11" s="15" customFormat="1" ht="11.25" customHeight="1">
      <c r="C152" s="20"/>
      <c r="D152" s="20"/>
      <c r="E152" s="20"/>
      <c r="F152" s="20"/>
      <c r="J152" s="16"/>
      <c r="K152" s="16"/>
    </row>
    <row r="153" spans="3:11" s="15" customFormat="1" ht="11.25" customHeight="1">
      <c r="C153" s="20"/>
      <c r="D153" s="20"/>
      <c r="E153" s="20"/>
      <c r="F153" s="20"/>
      <c r="J153" s="16"/>
      <c r="K153" s="16"/>
    </row>
    <row r="154" spans="3:11" s="15" customFormat="1" ht="11.25" customHeight="1">
      <c r="C154" s="20"/>
      <c r="D154" s="20"/>
      <c r="E154" s="20"/>
      <c r="F154" s="20"/>
      <c r="J154" s="16"/>
      <c r="K154" s="16"/>
    </row>
    <row r="155" spans="3:11" s="15" customFormat="1" ht="11.25" customHeight="1">
      <c r="C155" s="20"/>
      <c r="D155" s="20"/>
      <c r="E155" s="20"/>
      <c r="F155" s="20"/>
      <c r="J155" s="16"/>
      <c r="K155" s="16"/>
    </row>
    <row r="156" spans="3:11" s="15" customFormat="1" ht="11.25" customHeight="1">
      <c r="C156" s="20"/>
      <c r="D156" s="20"/>
      <c r="E156" s="20"/>
      <c r="F156" s="20"/>
      <c r="J156" s="16"/>
      <c r="K156" s="16"/>
    </row>
    <row r="157" spans="3:11" s="15" customFormat="1" ht="11.25" customHeight="1">
      <c r="C157" s="20"/>
      <c r="D157" s="20"/>
      <c r="E157" s="20"/>
      <c r="F157" s="20"/>
      <c r="J157" s="16"/>
      <c r="K157" s="16"/>
    </row>
    <row r="158" spans="3:11" s="15" customFormat="1" ht="11.25" customHeight="1">
      <c r="C158" s="20"/>
      <c r="D158" s="20"/>
      <c r="E158" s="20"/>
      <c r="F158" s="20"/>
      <c r="J158" s="16"/>
      <c r="K158" s="16"/>
    </row>
    <row r="159" spans="3:11" s="15" customFormat="1" ht="11.25" customHeight="1">
      <c r="C159" s="20"/>
      <c r="D159" s="20"/>
      <c r="E159" s="20"/>
      <c r="F159" s="20"/>
      <c r="J159" s="16"/>
      <c r="K159" s="16"/>
    </row>
    <row r="160" spans="3:11" s="15" customFormat="1" ht="11.25" customHeight="1">
      <c r="C160" s="20"/>
      <c r="D160" s="20"/>
      <c r="E160" s="20"/>
      <c r="F160" s="20"/>
      <c r="J160" s="16"/>
      <c r="K160" s="16"/>
    </row>
    <row r="161" spans="3:11" s="15" customFormat="1" ht="11.25" customHeight="1">
      <c r="C161" s="20"/>
      <c r="D161" s="20"/>
      <c r="E161" s="20"/>
      <c r="F161" s="20"/>
      <c r="J161" s="16"/>
      <c r="K161" s="16"/>
    </row>
    <row r="162" spans="3:11" s="15" customFormat="1" ht="11.25" customHeight="1">
      <c r="C162" s="20"/>
      <c r="D162" s="20"/>
      <c r="E162" s="20"/>
      <c r="F162" s="20"/>
      <c r="J162" s="16"/>
      <c r="K162" s="16"/>
    </row>
    <row r="163" spans="3:11" s="15" customFormat="1" ht="11.25" customHeight="1">
      <c r="C163" s="20"/>
      <c r="D163" s="20"/>
      <c r="E163" s="20"/>
      <c r="F163" s="20"/>
      <c r="J163" s="16"/>
      <c r="K163" s="16"/>
    </row>
    <row r="164" spans="3:11" s="15" customFormat="1" ht="11.25" customHeight="1">
      <c r="C164" s="20"/>
      <c r="D164" s="20"/>
      <c r="E164" s="20"/>
      <c r="F164" s="20"/>
      <c r="J164" s="16"/>
      <c r="K164" s="16"/>
    </row>
    <row r="165" spans="3:11" s="15" customFormat="1" ht="11.25" customHeight="1">
      <c r="C165" s="20"/>
      <c r="D165" s="20"/>
      <c r="E165" s="20"/>
      <c r="F165" s="20"/>
      <c r="J165" s="16"/>
      <c r="K165" s="16"/>
    </row>
    <row r="166" spans="3:11" s="15" customFormat="1" ht="11.25" customHeight="1">
      <c r="C166" s="20"/>
      <c r="D166" s="20"/>
      <c r="E166" s="20"/>
      <c r="F166" s="20"/>
      <c r="J166" s="16"/>
      <c r="K166" s="16"/>
    </row>
    <row r="167" spans="3:11" s="15" customFormat="1" ht="11.25" customHeight="1">
      <c r="C167" s="20"/>
      <c r="D167" s="20"/>
      <c r="E167" s="20"/>
      <c r="F167" s="20"/>
      <c r="J167" s="16"/>
      <c r="K167" s="16"/>
    </row>
    <row r="168" spans="3:11" s="15" customFormat="1" ht="11.25" customHeight="1">
      <c r="C168" s="20"/>
      <c r="D168" s="20"/>
      <c r="E168" s="20"/>
      <c r="F168" s="20"/>
      <c r="J168" s="16"/>
      <c r="K168" s="16"/>
    </row>
    <row r="169" spans="3:11" s="15" customFormat="1" ht="11.25" customHeight="1">
      <c r="C169" s="20"/>
      <c r="D169" s="20"/>
      <c r="E169" s="20"/>
      <c r="F169" s="20"/>
      <c r="J169" s="16"/>
      <c r="K169" s="16"/>
    </row>
    <row r="170" spans="3:11" s="15" customFormat="1" ht="11.25" customHeight="1">
      <c r="C170" s="20"/>
      <c r="D170" s="20"/>
      <c r="E170" s="20"/>
      <c r="F170" s="20"/>
      <c r="J170" s="16"/>
      <c r="K170" s="16"/>
    </row>
    <row r="171" spans="3:11" s="15" customFormat="1" ht="11.25" customHeight="1">
      <c r="C171" s="20"/>
      <c r="D171" s="20"/>
      <c r="E171" s="20"/>
      <c r="F171" s="20"/>
      <c r="J171" s="16"/>
      <c r="K171" s="16"/>
    </row>
    <row r="172" spans="3:11" s="15" customFormat="1" ht="11.25" customHeight="1">
      <c r="C172" s="20"/>
      <c r="D172" s="20"/>
      <c r="E172" s="20"/>
      <c r="F172" s="20"/>
      <c r="J172" s="16"/>
      <c r="K172" s="16"/>
    </row>
    <row r="173" spans="3:11" s="15" customFormat="1" ht="11.25" customHeight="1">
      <c r="C173" s="20"/>
      <c r="D173" s="20"/>
      <c r="E173" s="20"/>
      <c r="F173" s="20"/>
      <c r="J173" s="16"/>
      <c r="K173" s="16"/>
    </row>
    <row r="174" spans="3:11" s="15" customFormat="1" ht="11.25" customHeight="1">
      <c r="C174" s="20"/>
      <c r="D174" s="20"/>
      <c r="E174" s="20"/>
      <c r="F174" s="20"/>
      <c r="J174" s="16"/>
      <c r="K174" s="16"/>
    </row>
    <row r="175" spans="3:11" s="15" customFormat="1" ht="11.25" customHeight="1">
      <c r="C175" s="20"/>
      <c r="D175" s="20"/>
      <c r="E175" s="20"/>
      <c r="F175" s="20"/>
      <c r="J175" s="16"/>
      <c r="K175" s="16"/>
    </row>
    <row r="176" spans="3:11" s="15" customFormat="1" ht="11.25" customHeight="1">
      <c r="C176" s="20"/>
      <c r="D176" s="20"/>
      <c r="E176" s="20"/>
      <c r="F176" s="20"/>
      <c r="J176" s="16"/>
      <c r="K176" s="16"/>
    </row>
    <row r="177" spans="3:11" s="15" customFormat="1" ht="11.25" customHeight="1">
      <c r="C177" s="20"/>
      <c r="D177" s="20"/>
      <c r="E177" s="20"/>
      <c r="F177" s="20"/>
      <c r="J177" s="16"/>
      <c r="K177" s="16"/>
    </row>
    <row r="178" spans="3:11" s="15" customFormat="1" ht="11.25" customHeight="1">
      <c r="C178" s="20"/>
      <c r="D178" s="20"/>
      <c r="E178" s="20"/>
      <c r="F178" s="20"/>
      <c r="J178" s="16"/>
      <c r="K178" s="16"/>
    </row>
    <row r="179" spans="3:11" s="15" customFormat="1" ht="11.25" customHeight="1">
      <c r="C179" s="20"/>
      <c r="D179" s="20"/>
      <c r="E179" s="20"/>
      <c r="F179" s="20"/>
      <c r="J179" s="16"/>
      <c r="K179" s="16"/>
    </row>
    <row r="180" spans="3:11" s="15" customFormat="1" ht="11.25" customHeight="1">
      <c r="C180" s="20"/>
      <c r="D180" s="20"/>
      <c r="E180" s="20"/>
      <c r="F180" s="20"/>
      <c r="J180" s="16"/>
      <c r="K180" s="16"/>
    </row>
    <row r="181" spans="3:11" s="15" customFormat="1" ht="11.25" customHeight="1">
      <c r="C181" s="20"/>
      <c r="D181" s="20"/>
      <c r="E181" s="20"/>
      <c r="F181" s="20"/>
      <c r="J181" s="16"/>
      <c r="K181" s="16"/>
    </row>
    <row r="182" spans="3:11" s="15" customFormat="1" ht="11.25" customHeight="1">
      <c r="C182" s="20"/>
      <c r="D182" s="20"/>
      <c r="E182" s="20"/>
      <c r="F182" s="20"/>
      <c r="J182" s="16"/>
      <c r="K182" s="16"/>
    </row>
    <row r="183" spans="3:11" s="15" customFormat="1" ht="11.25" customHeight="1">
      <c r="C183" s="20"/>
      <c r="D183" s="20"/>
      <c r="E183" s="20"/>
      <c r="F183" s="20"/>
      <c r="J183" s="16"/>
      <c r="K183" s="16"/>
    </row>
    <row r="184" spans="3:11" s="15" customFormat="1" ht="11.25" customHeight="1">
      <c r="C184" s="20"/>
      <c r="D184" s="20"/>
      <c r="E184" s="20"/>
      <c r="F184" s="20"/>
      <c r="J184" s="16"/>
      <c r="K184" s="16"/>
    </row>
    <row r="185" spans="3:11" s="15" customFormat="1" ht="11.25" customHeight="1">
      <c r="C185" s="20"/>
      <c r="D185" s="20"/>
      <c r="E185" s="20"/>
      <c r="F185" s="20"/>
      <c r="J185" s="16"/>
      <c r="K185" s="16"/>
    </row>
    <row r="186" spans="3:11" s="15" customFormat="1" ht="11.25" customHeight="1">
      <c r="C186" s="20"/>
      <c r="D186" s="20"/>
      <c r="E186" s="20"/>
      <c r="F186" s="20"/>
      <c r="J186" s="16"/>
      <c r="K186" s="16"/>
    </row>
    <row r="187" spans="3:11" s="15" customFormat="1" ht="11.25" customHeight="1">
      <c r="C187" s="20"/>
      <c r="D187" s="20"/>
      <c r="E187" s="20"/>
      <c r="F187" s="20"/>
      <c r="J187" s="16"/>
      <c r="K187" s="16"/>
    </row>
    <row r="188" spans="3:11" s="15" customFormat="1" ht="11.25" customHeight="1">
      <c r="C188" s="20"/>
      <c r="D188" s="20"/>
      <c r="E188" s="20"/>
      <c r="F188" s="20"/>
      <c r="J188" s="16"/>
      <c r="K188" s="16"/>
    </row>
    <row r="189" spans="3:11" s="15" customFormat="1" ht="11.25" customHeight="1">
      <c r="C189" s="20"/>
      <c r="D189" s="20"/>
      <c r="E189" s="20"/>
      <c r="F189" s="20"/>
      <c r="J189" s="16"/>
      <c r="K189" s="16"/>
    </row>
    <row r="190" spans="3:11" s="15" customFormat="1" ht="11.25" customHeight="1">
      <c r="C190" s="20"/>
      <c r="D190" s="20"/>
      <c r="E190" s="20"/>
      <c r="F190" s="20"/>
      <c r="J190" s="16"/>
      <c r="K190" s="16"/>
    </row>
    <row r="191" spans="3:11" s="15" customFormat="1" ht="11.25" customHeight="1">
      <c r="C191" s="20"/>
      <c r="D191" s="20"/>
      <c r="E191" s="20"/>
      <c r="F191" s="20"/>
      <c r="J191" s="16"/>
      <c r="K191" s="16"/>
    </row>
    <row r="192" spans="3:11" s="15" customFormat="1" ht="11.25" customHeight="1">
      <c r="C192" s="20"/>
      <c r="D192" s="20"/>
      <c r="E192" s="20"/>
      <c r="F192" s="20"/>
      <c r="J192" s="16"/>
      <c r="K192" s="16"/>
    </row>
    <row r="193" spans="3:11" s="15" customFormat="1" ht="11.25" customHeight="1">
      <c r="C193" s="20"/>
      <c r="D193" s="20"/>
      <c r="E193" s="20"/>
      <c r="F193" s="20"/>
      <c r="J193" s="16"/>
      <c r="K193" s="16"/>
    </row>
    <row r="194" spans="3:11" s="15" customFormat="1" ht="11.25" customHeight="1">
      <c r="C194" s="20"/>
      <c r="D194" s="20"/>
      <c r="E194" s="20"/>
      <c r="F194" s="20"/>
      <c r="J194" s="16"/>
      <c r="K194" s="16"/>
    </row>
    <row r="195" spans="3:11" s="15" customFormat="1" ht="11.25" customHeight="1">
      <c r="C195" s="20"/>
      <c r="D195" s="20"/>
      <c r="E195" s="20"/>
      <c r="F195" s="20"/>
      <c r="J195" s="16"/>
      <c r="K195" s="16"/>
    </row>
    <row r="196" spans="3:11" s="15" customFormat="1" ht="11.25" customHeight="1">
      <c r="C196" s="20"/>
      <c r="D196" s="20"/>
      <c r="E196" s="20"/>
      <c r="F196" s="20"/>
      <c r="J196" s="16"/>
      <c r="K196" s="16"/>
    </row>
    <row r="197" spans="3:11" s="15" customFormat="1" ht="11.25" customHeight="1">
      <c r="C197" s="20"/>
      <c r="D197" s="20"/>
      <c r="E197" s="20"/>
      <c r="F197" s="20"/>
      <c r="J197" s="16"/>
      <c r="K197" s="16"/>
    </row>
    <row r="198" spans="3:11" s="15" customFormat="1" ht="11.25" customHeight="1">
      <c r="C198" s="20"/>
      <c r="D198" s="20"/>
      <c r="E198" s="20"/>
      <c r="F198" s="20"/>
      <c r="J198" s="16"/>
      <c r="K198" s="16"/>
    </row>
    <row r="199" spans="3:11" s="15" customFormat="1" ht="11.25" customHeight="1">
      <c r="C199" s="20"/>
      <c r="D199" s="20"/>
      <c r="E199" s="20"/>
      <c r="F199" s="20"/>
      <c r="J199" s="16"/>
      <c r="K199" s="16"/>
    </row>
    <row r="200" spans="3:11" s="15" customFormat="1" ht="11.25" customHeight="1">
      <c r="C200" s="20"/>
      <c r="D200" s="20"/>
      <c r="E200" s="20"/>
      <c r="F200" s="20"/>
      <c r="J200" s="16"/>
      <c r="K200" s="16"/>
    </row>
    <row r="201" spans="3:11" s="15" customFormat="1" ht="11.25" customHeight="1">
      <c r="C201" s="20"/>
      <c r="D201" s="20"/>
      <c r="E201" s="20"/>
      <c r="F201" s="20"/>
      <c r="J201" s="16"/>
      <c r="K201" s="16"/>
    </row>
    <row r="202" spans="3:11" s="15" customFormat="1" ht="11.25" customHeight="1">
      <c r="C202" s="20"/>
      <c r="D202" s="20"/>
      <c r="E202" s="20"/>
      <c r="F202" s="20"/>
      <c r="J202" s="16"/>
      <c r="K202" s="16"/>
    </row>
    <row r="203" spans="3:11" s="15" customFormat="1" ht="11.25" customHeight="1">
      <c r="C203" s="20"/>
      <c r="D203" s="20"/>
      <c r="E203" s="20"/>
      <c r="F203" s="20"/>
      <c r="J203" s="16"/>
      <c r="K203" s="16"/>
    </row>
    <row r="204" spans="3:11" s="15" customFormat="1" ht="11.25" customHeight="1">
      <c r="C204" s="20"/>
      <c r="D204" s="20"/>
      <c r="E204" s="20"/>
      <c r="F204" s="20"/>
      <c r="J204" s="16"/>
      <c r="K204" s="16"/>
    </row>
    <row r="205" spans="3:11" s="15" customFormat="1" ht="11.25" customHeight="1">
      <c r="C205" s="20"/>
      <c r="D205" s="20"/>
      <c r="E205" s="20"/>
      <c r="F205" s="20"/>
      <c r="J205" s="16"/>
      <c r="K205" s="16"/>
    </row>
    <row r="206" spans="3:11" s="15" customFormat="1" ht="11.25" customHeight="1">
      <c r="C206" s="20"/>
      <c r="D206" s="20"/>
      <c r="E206" s="20"/>
      <c r="F206" s="20"/>
      <c r="J206" s="16"/>
      <c r="K206" s="16"/>
    </row>
    <row r="207" spans="3:11" s="15" customFormat="1" ht="11.25" customHeight="1">
      <c r="C207" s="20"/>
      <c r="D207" s="20"/>
      <c r="E207" s="20"/>
      <c r="F207" s="20"/>
      <c r="J207" s="16"/>
      <c r="K207" s="16"/>
    </row>
    <row r="208" spans="3:11" s="15" customFormat="1" ht="11.25" customHeight="1">
      <c r="C208" s="20"/>
      <c r="D208" s="20"/>
      <c r="E208" s="20"/>
      <c r="F208" s="20"/>
      <c r="J208" s="16"/>
      <c r="K208" s="16"/>
    </row>
    <row r="209" spans="3:11" s="15" customFormat="1" ht="11.25" customHeight="1">
      <c r="C209" s="20"/>
      <c r="D209" s="20"/>
      <c r="E209" s="20"/>
      <c r="F209" s="20"/>
      <c r="J209" s="16"/>
      <c r="K209" s="16"/>
    </row>
    <row r="210" spans="3:11" s="15" customFormat="1" ht="11.25" customHeight="1">
      <c r="C210" s="20"/>
      <c r="D210" s="20"/>
      <c r="E210" s="20"/>
      <c r="F210" s="20"/>
      <c r="J210" s="16"/>
      <c r="K210" s="16"/>
    </row>
    <row r="211" spans="3:11" s="15" customFormat="1" ht="11.25" customHeight="1">
      <c r="C211" s="20"/>
      <c r="D211" s="20"/>
      <c r="E211" s="20"/>
      <c r="F211" s="20"/>
      <c r="J211" s="16"/>
      <c r="K211" s="16"/>
    </row>
    <row r="212" spans="3:11" s="15" customFormat="1" ht="11.25" customHeight="1">
      <c r="C212" s="20"/>
      <c r="D212" s="20"/>
      <c r="E212" s="20"/>
      <c r="F212" s="20"/>
      <c r="J212" s="16"/>
      <c r="K212" s="16"/>
    </row>
    <row r="213" spans="3:11" s="15" customFormat="1" ht="11.25" customHeight="1">
      <c r="C213" s="20"/>
      <c r="D213" s="20"/>
      <c r="E213" s="20"/>
      <c r="F213" s="20"/>
      <c r="J213" s="16"/>
      <c r="K213" s="16"/>
    </row>
    <row r="214" spans="3:11" s="15" customFormat="1" ht="11.25" customHeight="1">
      <c r="C214" s="20"/>
      <c r="D214" s="20"/>
      <c r="E214" s="20"/>
      <c r="F214" s="20"/>
      <c r="J214" s="16"/>
      <c r="K214" s="16"/>
    </row>
    <row r="215" spans="3:11" s="15" customFormat="1" ht="11.25" customHeight="1">
      <c r="C215" s="20"/>
      <c r="D215" s="20"/>
      <c r="E215" s="20"/>
      <c r="F215" s="20"/>
      <c r="J215" s="16"/>
      <c r="K215" s="16"/>
    </row>
    <row r="216" spans="3:11" s="15" customFormat="1" ht="11.25" customHeight="1">
      <c r="C216" s="20"/>
      <c r="D216" s="20"/>
      <c r="E216" s="20"/>
      <c r="F216" s="20"/>
      <c r="J216" s="16"/>
      <c r="K216" s="16"/>
    </row>
    <row r="217" spans="3:11" s="15" customFormat="1" ht="11.25" customHeight="1">
      <c r="C217" s="20"/>
      <c r="D217" s="20"/>
      <c r="E217" s="20"/>
      <c r="F217" s="20"/>
      <c r="J217" s="16"/>
      <c r="K217" s="16"/>
    </row>
    <row r="218" spans="3:11" s="15" customFormat="1" ht="11.25" customHeight="1">
      <c r="C218" s="20"/>
      <c r="D218" s="20"/>
      <c r="E218" s="20"/>
      <c r="F218" s="20"/>
      <c r="J218" s="16"/>
      <c r="K218" s="16"/>
    </row>
    <row r="219" spans="3:11" s="15" customFormat="1" ht="11.25" customHeight="1">
      <c r="C219" s="20"/>
      <c r="D219" s="20"/>
      <c r="E219" s="20"/>
      <c r="F219" s="20"/>
      <c r="J219" s="16"/>
      <c r="K219" s="16"/>
    </row>
    <row r="220" spans="3:11" s="15" customFormat="1" ht="11.25" customHeight="1">
      <c r="C220" s="20"/>
      <c r="D220" s="20"/>
      <c r="E220" s="20"/>
      <c r="F220" s="20"/>
      <c r="J220" s="16"/>
      <c r="K220" s="16"/>
    </row>
    <row r="221" spans="3:11" s="15" customFormat="1" ht="11.25" customHeight="1">
      <c r="C221" s="20"/>
      <c r="D221" s="20"/>
      <c r="E221" s="20"/>
      <c r="F221" s="20"/>
      <c r="J221" s="16"/>
      <c r="K221" s="16"/>
    </row>
    <row r="222" spans="3:11" s="15" customFormat="1" ht="11.25" customHeight="1">
      <c r="C222" s="20"/>
      <c r="D222" s="20"/>
      <c r="E222" s="20"/>
      <c r="F222" s="20"/>
      <c r="J222" s="16"/>
      <c r="K222" s="16"/>
    </row>
    <row r="223" spans="3:11" s="15" customFormat="1" ht="11.25" customHeight="1">
      <c r="C223" s="20"/>
      <c r="D223" s="20"/>
      <c r="E223" s="20"/>
      <c r="F223" s="20"/>
      <c r="J223" s="16"/>
      <c r="K223" s="16"/>
    </row>
    <row r="224" spans="3:11" s="15" customFormat="1" ht="11.25" customHeight="1">
      <c r="C224" s="20"/>
      <c r="D224" s="20"/>
      <c r="E224" s="20"/>
      <c r="F224" s="20"/>
      <c r="J224" s="16"/>
      <c r="K224" s="16"/>
    </row>
    <row r="225" spans="3:11" s="15" customFormat="1" ht="11.25" customHeight="1">
      <c r="C225" s="20"/>
      <c r="D225" s="20"/>
      <c r="E225" s="20"/>
      <c r="F225" s="20"/>
      <c r="J225" s="16"/>
      <c r="K225" s="16"/>
    </row>
    <row r="226" spans="3:11" s="15" customFormat="1" ht="11.25" customHeight="1">
      <c r="C226" s="20"/>
      <c r="D226" s="20"/>
      <c r="E226" s="20"/>
      <c r="F226" s="20"/>
      <c r="J226" s="16"/>
      <c r="K226" s="16"/>
    </row>
    <row r="227" spans="3:11" s="15" customFormat="1" ht="11.25" customHeight="1">
      <c r="C227" s="20"/>
      <c r="D227" s="20"/>
      <c r="E227" s="20"/>
      <c r="F227" s="20"/>
      <c r="J227" s="16"/>
      <c r="K227" s="16"/>
    </row>
    <row r="228" spans="3:11" s="15" customFormat="1" ht="11.25" customHeight="1">
      <c r="C228" s="20"/>
      <c r="D228" s="20"/>
      <c r="E228" s="20"/>
      <c r="F228" s="20"/>
      <c r="J228" s="16"/>
      <c r="K228" s="16"/>
    </row>
    <row r="229" spans="3:11" s="15" customFormat="1" ht="11.25" customHeight="1">
      <c r="C229" s="20"/>
      <c r="D229" s="20"/>
      <c r="E229" s="20"/>
      <c r="F229" s="20"/>
      <c r="J229" s="16"/>
      <c r="K229" s="16"/>
    </row>
    <row r="230" spans="3:11" s="15" customFormat="1" ht="11.25" customHeight="1">
      <c r="C230" s="20"/>
      <c r="D230" s="20"/>
      <c r="E230" s="20"/>
      <c r="F230" s="20"/>
      <c r="J230" s="16"/>
      <c r="K230" s="16"/>
    </row>
    <row r="231" spans="3:11" s="15" customFormat="1" ht="11.25" customHeight="1">
      <c r="C231" s="20"/>
      <c r="D231" s="20"/>
      <c r="E231" s="20"/>
      <c r="F231" s="20"/>
      <c r="J231" s="16"/>
      <c r="K231" s="16"/>
    </row>
    <row r="232" spans="3:11" s="15" customFormat="1" ht="11.25" customHeight="1">
      <c r="C232" s="20"/>
      <c r="D232" s="20"/>
      <c r="E232" s="20"/>
      <c r="F232" s="20"/>
      <c r="J232" s="16"/>
      <c r="K232" s="16"/>
    </row>
    <row r="233" spans="3:11" s="15" customFormat="1" ht="11.25" customHeight="1">
      <c r="C233" s="20"/>
      <c r="D233" s="20"/>
      <c r="E233" s="20"/>
      <c r="F233" s="20"/>
      <c r="J233" s="16"/>
      <c r="K233" s="16"/>
    </row>
    <row r="234" spans="3:11" s="15" customFormat="1" ht="11.25" customHeight="1">
      <c r="C234" s="20"/>
      <c r="D234" s="20"/>
      <c r="E234" s="20"/>
      <c r="F234" s="20"/>
      <c r="J234" s="16"/>
      <c r="K234" s="16"/>
    </row>
    <row r="235" spans="3:11" s="15" customFormat="1" ht="11.25" customHeight="1">
      <c r="C235" s="20"/>
      <c r="D235" s="20"/>
      <c r="E235" s="20"/>
      <c r="F235" s="20"/>
      <c r="J235" s="16"/>
      <c r="K235" s="16"/>
    </row>
    <row r="236" spans="3:11" s="15" customFormat="1" ht="11.25" customHeight="1">
      <c r="C236" s="20"/>
      <c r="D236" s="20"/>
      <c r="E236" s="20"/>
      <c r="F236" s="20"/>
      <c r="J236" s="16"/>
      <c r="K236" s="16"/>
    </row>
    <row r="237" spans="3:11" s="15" customFormat="1" ht="11.25" customHeight="1">
      <c r="C237" s="20"/>
      <c r="D237" s="20"/>
      <c r="E237" s="20"/>
      <c r="F237" s="20"/>
      <c r="J237" s="16"/>
      <c r="K237" s="16"/>
    </row>
    <row r="238" spans="3:11" s="15" customFormat="1" ht="11.25" customHeight="1">
      <c r="C238" s="20"/>
      <c r="D238" s="20"/>
      <c r="E238" s="20"/>
      <c r="F238" s="20"/>
      <c r="J238" s="16"/>
      <c r="K238" s="16"/>
    </row>
    <row r="239" spans="3:11" s="15" customFormat="1" ht="11.25" customHeight="1">
      <c r="C239" s="20"/>
      <c r="D239" s="20"/>
      <c r="E239" s="20"/>
      <c r="F239" s="20"/>
      <c r="J239" s="16"/>
      <c r="K239" s="16"/>
    </row>
    <row r="240" spans="3:11" s="15" customFormat="1" ht="11.25" customHeight="1">
      <c r="C240" s="20"/>
      <c r="D240" s="20"/>
      <c r="E240" s="20"/>
      <c r="F240" s="20"/>
      <c r="J240" s="16"/>
      <c r="K240" s="16"/>
    </row>
    <row r="241" spans="3:11" s="15" customFormat="1" ht="11.25" customHeight="1">
      <c r="C241" s="20"/>
      <c r="D241" s="20"/>
      <c r="E241" s="20"/>
      <c r="F241" s="20"/>
      <c r="J241" s="16"/>
      <c r="K241" s="16"/>
    </row>
    <row r="242" spans="3:11" s="15" customFormat="1" ht="11.25" customHeight="1">
      <c r="C242" s="20"/>
      <c r="D242" s="20"/>
      <c r="E242" s="20"/>
      <c r="F242" s="20"/>
      <c r="J242" s="16"/>
      <c r="K242" s="16"/>
    </row>
    <row r="243" spans="3:11" s="15" customFormat="1" ht="11.25" customHeight="1">
      <c r="C243" s="20"/>
      <c r="D243" s="20"/>
      <c r="E243" s="20"/>
      <c r="F243" s="20"/>
      <c r="J243" s="16"/>
      <c r="K243" s="16"/>
    </row>
    <row r="244" spans="3:11" s="15" customFormat="1" ht="11.25" customHeight="1">
      <c r="C244" s="20"/>
      <c r="D244" s="20"/>
      <c r="E244" s="20"/>
      <c r="F244" s="20"/>
      <c r="J244" s="16"/>
      <c r="K244" s="16"/>
    </row>
    <row r="245" spans="3:11" s="15" customFormat="1" ht="11.25" customHeight="1">
      <c r="C245" s="20"/>
      <c r="D245" s="20"/>
      <c r="E245" s="20"/>
      <c r="F245" s="20"/>
      <c r="J245" s="16"/>
      <c r="K245" s="16"/>
    </row>
    <row r="246" spans="3:11" s="15" customFormat="1" ht="11.25" customHeight="1">
      <c r="C246" s="20"/>
      <c r="D246" s="20"/>
      <c r="E246" s="20"/>
      <c r="F246" s="20"/>
      <c r="J246" s="16"/>
      <c r="K246" s="16"/>
    </row>
    <row r="247" spans="3:11" s="15" customFormat="1" ht="11.25" customHeight="1">
      <c r="C247" s="20"/>
      <c r="D247" s="20"/>
      <c r="E247" s="20"/>
      <c r="F247" s="20"/>
      <c r="J247" s="16"/>
      <c r="K247" s="16"/>
    </row>
    <row r="248" spans="3:11" s="15" customFormat="1" ht="11.25" customHeight="1">
      <c r="C248" s="20"/>
      <c r="D248" s="20"/>
      <c r="E248" s="20"/>
      <c r="F248" s="20"/>
      <c r="J248" s="16"/>
      <c r="K248" s="16"/>
    </row>
    <row r="249" spans="3:11" s="15" customFormat="1" ht="11.25" customHeight="1">
      <c r="C249" s="20"/>
      <c r="D249" s="20"/>
      <c r="E249" s="20"/>
      <c r="F249" s="20"/>
      <c r="J249" s="16"/>
      <c r="K249" s="16"/>
    </row>
    <row r="250" spans="3:11" s="15" customFormat="1" ht="11.25" customHeight="1">
      <c r="C250" s="20"/>
      <c r="D250" s="20"/>
      <c r="E250" s="20"/>
      <c r="F250" s="20"/>
      <c r="J250" s="16"/>
      <c r="K250" s="16"/>
    </row>
    <row r="251" spans="3:11" s="15" customFormat="1" ht="11.25" customHeight="1">
      <c r="C251" s="20"/>
      <c r="D251" s="20"/>
      <c r="E251" s="20"/>
      <c r="F251" s="20"/>
      <c r="J251" s="16"/>
      <c r="K251" s="16"/>
    </row>
    <row r="252" spans="3:11" s="15" customFormat="1" ht="11.25" customHeight="1">
      <c r="C252" s="20"/>
      <c r="D252" s="20"/>
      <c r="E252" s="20"/>
      <c r="F252" s="20"/>
      <c r="J252" s="16"/>
      <c r="K252" s="16"/>
    </row>
    <row r="253" spans="3:11" s="15" customFormat="1" ht="11.25" customHeight="1">
      <c r="C253" s="20"/>
      <c r="D253" s="20"/>
      <c r="E253" s="20"/>
      <c r="F253" s="20"/>
      <c r="J253" s="16"/>
      <c r="K253" s="16"/>
    </row>
    <row r="254" spans="3:11" s="15" customFormat="1" ht="11.25" customHeight="1">
      <c r="C254" s="20"/>
      <c r="D254" s="20"/>
      <c r="E254" s="20"/>
      <c r="F254" s="20"/>
      <c r="J254" s="16"/>
      <c r="K254" s="16"/>
    </row>
    <row r="255" spans="3:11" s="15" customFormat="1" ht="11.25" customHeight="1">
      <c r="C255" s="20"/>
      <c r="D255" s="20"/>
      <c r="E255" s="20"/>
      <c r="F255" s="20"/>
      <c r="J255" s="16"/>
      <c r="K255" s="16"/>
    </row>
    <row r="256" spans="3:11" s="15" customFormat="1" ht="11.25" customHeight="1">
      <c r="C256" s="20"/>
      <c r="D256" s="20"/>
      <c r="E256" s="20"/>
      <c r="F256" s="20"/>
      <c r="J256" s="16"/>
      <c r="K256" s="16"/>
    </row>
    <row r="257" spans="3:11" s="15" customFormat="1" ht="11.25" customHeight="1">
      <c r="C257" s="20"/>
      <c r="D257" s="20"/>
      <c r="E257" s="20"/>
      <c r="F257" s="20"/>
      <c r="J257" s="16"/>
      <c r="K257" s="16"/>
    </row>
    <row r="258" spans="3:11" s="15" customFormat="1" ht="11.25" customHeight="1">
      <c r="C258" s="20"/>
      <c r="D258" s="20"/>
      <c r="E258" s="20"/>
      <c r="F258" s="20"/>
      <c r="J258" s="16"/>
      <c r="K258" s="16"/>
    </row>
    <row r="259" spans="3:11" s="15" customFormat="1" ht="11.25" customHeight="1">
      <c r="C259" s="20"/>
      <c r="D259" s="20"/>
      <c r="E259" s="20"/>
      <c r="F259" s="20"/>
      <c r="J259" s="16"/>
      <c r="K259" s="16"/>
    </row>
    <row r="260" spans="3:11" s="15" customFormat="1" ht="11.25" customHeight="1">
      <c r="C260" s="20"/>
      <c r="D260" s="20"/>
      <c r="E260" s="20"/>
      <c r="F260" s="20"/>
      <c r="J260" s="16"/>
      <c r="K260" s="16"/>
    </row>
    <row r="261" spans="3:11" s="15" customFormat="1" ht="11.25" customHeight="1">
      <c r="C261" s="20"/>
      <c r="D261" s="20"/>
      <c r="E261" s="20"/>
      <c r="F261" s="20"/>
      <c r="J261" s="16"/>
      <c r="K261" s="16"/>
    </row>
    <row r="262" spans="3:11" s="15" customFormat="1" ht="11.25" customHeight="1">
      <c r="C262" s="20"/>
      <c r="D262" s="20"/>
      <c r="E262" s="20"/>
      <c r="F262" s="20"/>
      <c r="J262" s="16"/>
      <c r="K262" s="16"/>
    </row>
    <row r="263" spans="3:11" s="15" customFormat="1" ht="11.25" customHeight="1">
      <c r="C263" s="20"/>
      <c r="D263" s="20"/>
      <c r="E263" s="20"/>
      <c r="F263" s="20"/>
      <c r="J263" s="16"/>
      <c r="K263" s="16"/>
    </row>
    <row r="264" spans="3:11" s="15" customFormat="1" ht="11.25" customHeight="1">
      <c r="C264" s="20"/>
      <c r="D264" s="20"/>
      <c r="E264" s="20"/>
      <c r="F264" s="20"/>
      <c r="J264" s="16"/>
      <c r="K264" s="16"/>
    </row>
    <row r="265" spans="3:11" s="15" customFormat="1" ht="11.25" customHeight="1">
      <c r="C265" s="20"/>
      <c r="D265" s="20"/>
      <c r="E265" s="20"/>
      <c r="F265" s="20"/>
      <c r="J265" s="16"/>
      <c r="K265" s="16"/>
    </row>
    <row r="266" spans="3:11" s="15" customFormat="1" ht="11.25" customHeight="1">
      <c r="C266" s="20"/>
      <c r="D266" s="20"/>
      <c r="E266" s="20"/>
      <c r="F266" s="20"/>
      <c r="J266" s="16"/>
      <c r="K266" s="16"/>
    </row>
    <row r="267" spans="3:11" s="15" customFormat="1" ht="11.25" customHeight="1">
      <c r="C267" s="20"/>
      <c r="D267" s="20"/>
      <c r="E267" s="20"/>
      <c r="F267" s="20"/>
      <c r="J267" s="16"/>
      <c r="K267" s="16"/>
    </row>
    <row r="268" spans="3:11" s="15" customFormat="1" ht="11.25" customHeight="1">
      <c r="C268" s="20"/>
      <c r="D268" s="20"/>
      <c r="E268" s="20"/>
      <c r="F268" s="20"/>
      <c r="J268" s="16"/>
      <c r="K268" s="16"/>
    </row>
    <row r="269" spans="3:11" s="15" customFormat="1" ht="11.25" customHeight="1">
      <c r="C269" s="20"/>
      <c r="D269" s="20"/>
      <c r="E269" s="20"/>
      <c r="F269" s="20"/>
      <c r="J269" s="16"/>
      <c r="K269" s="16"/>
    </row>
    <row r="270" spans="3:11" s="15" customFormat="1" ht="11.25" customHeight="1">
      <c r="C270" s="20"/>
      <c r="D270" s="20"/>
      <c r="E270" s="20"/>
      <c r="F270" s="20"/>
      <c r="J270" s="16"/>
      <c r="K270" s="16"/>
    </row>
    <row r="271" spans="3:11" s="15" customFormat="1" ht="11.25" customHeight="1">
      <c r="C271" s="20"/>
      <c r="D271" s="20"/>
      <c r="E271" s="20"/>
      <c r="F271" s="20"/>
      <c r="J271" s="16"/>
      <c r="K271" s="16"/>
    </row>
    <row r="272" spans="3:11" s="15" customFormat="1" ht="11.25" customHeight="1">
      <c r="C272" s="20"/>
      <c r="D272" s="20"/>
      <c r="E272" s="20"/>
      <c r="F272" s="20"/>
      <c r="J272" s="16"/>
      <c r="K272" s="16"/>
    </row>
    <row r="273" spans="3:11" s="15" customFormat="1" ht="11.25" customHeight="1">
      <c r="C273" s="20"/>
      <c r="D273" s="20"/>
      <c r="E273" s="20"/>
      <c r="F273" s="20"/>
      <c r="J273" s="16"/>
      <c r="K273" s="16"/>
    </row>
    <row r="274" spans="3:11" s="15" customFormat="1" ht="11.25" customHeight="1">
      <c r="C274" s="20"/>
      <c r="D274" s="20"/>
      <c r="E274" s="20"/>
      <c r="F274" s="20"/>
      <c r="J274" s="16"/>
      <c r="K274" s="16"/>
    </row>
    <row r="275" spans="3:11" s="15" customFormat="1" ht="11.25" customHeight="1">
      <c r="C275" s="20"/>
      <c r="D275" s="20"/>
      <c r="E275" s="20"/>
      <c r="F275" s="20"/>
      <c r="J275" s="16"/>
      <c r="K275" s="16"/>
    </row>
    <row r="276" spans="3:11" s="15" customFormat="1" ht="11.25" customHeight="1">
      <c r="C276" s="20"/>
      <c r="D276" s="20"/>
      <c r="E276" s="20"/>
      <c r="F276" s="20"/>
      <c r="J276" s="16"/>
      <c r="K276" s="16"/>
    </row>
    <row r="277" spans="3:11" s="15" customFormat="1" ht="11.25" customHeight="1">
      <c r="C277" s="20"/>
      <c r="D277" s="20"/>
      <c r="E277" s="20"/>
      <c r="F277" s="20"/>
      <c r="J277" s="16"/>
      <c r="K277" s="16"/>
    </row>
    <row r="278" spans="3:11" s="15" customFormat="1" ht="11.25" customHeight="1">
      <c r="C278" s="20"/>
      <c r="D278" s="20"/>
      <c r="E278" s="20"/>
      <c r="F278" s="20"/>
      <c r="J278" s="16"/>
      <c r="K278" s="16"/>
    </row>
    <row r="279" spans="3:11" s="15" customFormat="1" ht="11.25" customHeight="1">
      <c r="C279" s="20"/>
      <c r="D279" s="20"/>
      <c r="E279" s="20"/>
      <c r="F279" s="20"/>
      <c r="J279" s="16"/>
      <c r="K279" s="16"/>
    </row>
    <row r="280" spans="3:11" s="15" customFormat="1" ht="11.25" customHeight="1">
      <c r="C280" s="20"/>
      <c r="D280" s="20"/>
      <c r="E280" s="20"/>
      <c r="F280" s="20"/>
      <c r="J280" s="16"/>
      <c r="K280" s="16"/>
    </row>
    <row r="281" spans="3:11" s="15" customFormat="1" ht="11.25" customHeight="1">
      <c r="C281" s="20"/>
      <c r="D281" s="20"/>
      <c r="E281" s="20"/>
      <c r="F281" s="20"/>
      <c r="J281" s="16"/>
      <c r="K281" s="16"/>
    </row>
    <row r="282" spans="3:11" s="15" customFormat="1" ht="11.25" customHeight="1">
      <c r="C282" s="20"/>
      <c r="D282" s="20"/>
      <c r="E282" s="20"/>
      <c r="F282" s="20"/>
      <c r="J282" s="16"/>
      <c r="K282" s="16"/>
    </row>
    <row r="283" spans="3:11" s="15" customFormat="1" ht="11.25" customHeight="1">
      <c r="C283" s="20"/>
      <c r="D283" s="20"/>
      <c r="E283" s="20"/>
      <c r="F283" s="20"/>
      <c r="J283" s="16"/>
      <c r="K283" s="16"/>
    </row>
    <row r="284" spans="3:11" s="15" customFormat="1" ht="11.25" customHeight="1">
      <c r="C284" s="20"/>
      <c r="D284" s="20"/>
      <c r="E284" s="20"/>
      <c r="F284" s="20"/>
      <c r="J284" s="16"/>
      <c r="K284" s="16"/>
    </row>
    <row r="285" spans="3:11" s="15" customFormat="1" ht="11.25" customHeight="1">
      <c r="C285" s="20"/>
      <c r="D285" s="20"/>
      <c r="E285" s="20"/>
      <c r="F285" s="20"/>
      <c r="J285" s="16"/>
      <c r="K285" s="16"/>
    </row>
    <row r="286" spans="3:11" s="15" customFormat="1" ht="11.25" customHeight="1">
      <c r="C286" s="20"/>
      <c r="D286" s="20"/>
      <c r="E286" s="20"/>
      <c r="F286" s="20"/>
      <c r="J286" s="16"/>
      <c r="K286" s="16"/>
    </row>
    <row r="287" spans="3:11" s="15" customFormat="1" ht="11.25" customHeight="1">
      <c r="C287" s="20"/>
      <c r="D287" s="20"/>
      <c r="E287" s="20"/>
      <c r="F287" s="20"/>
      <c r="J287" s="16"/>
      <c r="K287" s="16"/>
    </row>
    <row r="288" spans="3:11" s="15" customFormat="1" ht="11.25" customHeight="1">
      <c r="C288" s="20"/>
      <c r="D288" s="20"/>
      <c r="E288" s="20"/>
      <c r="F288" s="20"/>
      <c r="J288" s="16"/>
      <c r="K288" s="16"/>
    </row>
    <row r="289" spans="3:11" s="15" customFormat="1" ht="11.25" customHeight="1">
      <c r="C289" s="20"/>
      <c r="D289" s="20"/>
      <c r="E289" s="20"/>
      <c r="F289" s="20"/>
      <c r="J289" s="16"/>
      <c r="K289" s="16"/>
    </row>
    <row r="290" spans="3:11" s="15" customFormat="1" ht="11.25" customHeight="1">
      <c r="C290" s="20"/>
      <c r="D290" s="20"/>
      <c r="E290" s="20"/>
      <c r="F290" s="20"/>
      <c r="J290" s="16"/>
      <c r="K290" s="16"/>
    </row>
    <row r="291" spans="3:11" s="15" customFormat="1" ht="11.25" customHeight="1">
      <c r="C291" s="20"/>
      <c r="D291" s="20"/>
      <c r="E291" s="20"/>
      <c r="F291" s="20"/>
      <c r="J291" s="16"/>
      <c r="K291" s="16"/>
    </row>
    <row r="292" spans="3:11" s="15" customFormat="1" ht="11.25" customHeight="1">
      <c r="C292" s="20"/>
      <c r="D292" s="20"/>
      <c r="E292" s="20"/>
      <c r="F292" s="20"/>
      <c r="J292" s="16"/>
      <c r="K292" s="16"/>
    </row>
    <row r="293" spans="3:11" s="15" customFormat="1" ht="11.25" customHeight="1">
      <c r="C293" s="20"/>
      <c r="D293" s="20"/>
      <c r="E293" s="20"/>
      <c r="F293" s="20"/>
      <c r="J293" s="16"/>
      <c r="K293" s="16"/>
    </row>
    <row r="294" spans="3:11" s="15" customFormat="1" ht="11.25" customHeight="1">
      <c r="C294" s="20"/>
      <c r="D294" s="20"/>
      <c r="E294" s="20"/>
      <c r="F294" s="20"/>
      <c r="J294" s="16"/>
      <c r="K294" s="16"/>
    </row>
    <row r="295" spans="3:11" s="15" customFormat="1" ht="11.25" customHeight="1">
      <c r="C295" s="20"/>
      <c r="D295" s="20"/>
      <c r="E295" s="20"/>
      <c r="F295" s="20"/>
      <c r="J295" s="16"/>
      <c r="K295" s="16"/>
    </row>
    <row r="296" spans="3:11" s="15" customFormat="1" ht="11.25" customHeight="1">
      <c r="C296" s="20"/>
      <c r="D296" s="20"/>
      <c r="E296" s="20"/>
      <c r="F296" s="20"/>
      <c r="J296" s="16"/>
      <c r="K296" s="16"/>
    </row>
    <row r="297" spans="3:11" s="15" customFormat="1" ht="11.25" customHeight="1">
      <c r="C297" s="20"/>
      <c r="D297" s="20"/>
      <c r="E297" s="20"/>
      <c r="F297" s="20"/>
      <c r="J297" s="16"/>
      <c r="K297" s="16"/>
    </row>
    <row r="298" spans="3:11" s="15" customFormat="1" ht="11.25" customHeight="1">
      <c r="C298" s="20"/>
      <c r="D298" s="20"/>
      <c r="E298" s="20"/>
      <c r="F298" s="20"/>
      <c r="J298" s="16"/>
      <c r="K298" s="16"/>
    </row>
    <row r="299" spans="3:11" s="15" customFormat="1" ht="11.25" customHeight="1">
      <c r="C299" s="20"/>
      <c r="D299" s="20"/>
      <c r="E299" s="20"/>
      <c r="F299" s="20"/>
      <c r="J299" s="16"/>
      <c r="K299" s="16"/>
    </row>
    <row r="300" spans="3:11" s="15" customFormat="1" ht="11.25" customHeight="1">
      <c r="C300" s="20"/>
      <c r="D300" s="20"/>
      <c r="E300" s="20"/>
      <c r="F300" s="20"/>
      <c r="J300" s="16"/>
      <c r="K300" s="16"/>
    </row>
    <row r="301" spans="3:11" s="15" customFormat="1" ht="11.25" customHeight="1">
      <c r="C301" s="20"/>
      <c r="D301" s="20"/>
      <c r="E301" s="20"/>
      <c r="F301" s="20"/>
      <c r="J301" s="16"/>
      <c r="K301" s="16"/>
    </row>
    <row r="302" spans="3:11" s="15" customFormat="1" ht="11.25" customHeight="1">
      <c r="C302" s="20"/>
      <c r="D302" s="20"/>
      <c r="E302" s="20"/>
      <c r="F302" s="20"/>
      <c r="J302" s="16"/>
      <c r="K302" s="16"/>
    </row>
    <row r="303" spans="3:11" s="15" customFormat="1" ht="11.25" customHeight="1">
      <c r="C303" s="20"/>
      <c r="D303" s="20"/>
      <c r="E303" s="20"/>
      <c r="F303" s="20"/>
      <c r="J303" s="16"/>
      <c r="K303" s="16"/>
    </row>
    <row r="304" spans="3:11" s="15" customFormat="1" ht="11.25" customHeight="1">
      <c r="C304" s="20"/>
      <c r="D304" s="20"/>
      <c r="E304" s="20"/>
      <c r="F304" s="20"/>
      <c r="J304" s="16"/>
      <c r="K304" s="16"/>
    </row>
    <row r="305" spans="3:11" s="15" customFormat="1" ht="11.25" customHeight="1">
      <c r="C305" s="20"/>
      <c r="D305" s="20"/>
      <c r="E305" s="20"/>
      <c r="F305" s="20"/>
      <c r="J305" s="16"/>
      <c r="K305" s="16"/>
    </row>
    <row r="306" spans="3:11" s="15" customFormat="1" ht="11.25" customHeight="1">
      <c r="C306" s="20"/>
      <c r="D306" s="20"/>
      <c r="E306" s="20"/>
      <c r="F306" s="20"/>
      <c r="J306" s="16"/>
      <c r="K306" s="16"/>
    </row>
    <row r="307" spans="3:11" s="15" customFormat="1" ht="11.25" customHeight="1">
      <c r="C307" s="20"/>
      <c r="D307" s="20"/>
      <c r="E307" s="20"/>
      <c r="F307" s="20"/>
      <c r="J307" s="16"/>
      <c r="K307" s="16"/>
    </row>
    <row r="308" spans="3:11" s="15" customFormat="1" ht="11.25" customHeight="1">
      <c r="C308" s="20"/>
      <c r="D308" s="20"/>
      <c r="E308" s="20"/>
      <c r="F308" s="20"/>
      <c r="J308" s="16"/>
      <c r="K308" s="16"/>
    </row>
    <row r="309" spans="3:11" s="15" customFormat="1" ht="11.25" customHeight="1">
      <c r="C309" s="20"/>
      <c r="D309" s="20"/>
      <c r="E309" s="20"/>
      <c r="F309" s="20"/>
      <c r="J309" s="16"/>
      <c r="K309" s="16"/>
    </row>
    <row r="310" spans="3:11" s="15" customFormat="1" ht="11.25" customHeight="1">
      <c r="C310" s="20"/>
      <c r="D310" s="20"/>
      <c r="E310" s="20"/>
      <c r="F310" s="20"/>
      <c r="J310" s="16"/>
      <c r="K310" s="16"/>
    </row>
    <row r="311" spans="3:11" s="15" customFormat="1" ht="11.25" customHeight="1">
      <c r="C311" s="20"/>
      <c r="D311" s="20"/>
      <c r="E311" s="20"/>
      <c r="F311" s="20"/>
      <c r="J311" s="16"/>
      <c r="K311" s="16"/>
    </row>
    <row r="312" spans="3:11" s="15" customFormat="1" ht="11.25" customHeight="1">
      <c r="C312" s="20"/>
      <c r="D312" s="20"/>
      <c r="E312" s="20"/>
      <c r="F312" s="20"/>
      <c r="J312" s="16"/>
      <c r="K312" s="16"/>
    </row>
    <row r="313" spans="3:11" s="15" customFormat="1" ht="11.25" customHeight="1">
      <c r="C313" s="20"/>
      <c r="D313" s="20"/>
      <c r="E313" s="20"/>
      <c r="F313" s="20"/>
      <c r="J313" s="16"/>
      <c r="K313" s="16"/>
    </row>
    <row r="314" spans="3:11" s="15" customFormat="1" ht="11.25" customHeight="1">
      <c r="C314" s="20"/>
      <c r="D314" s="20"/>
      <c r="E314" s="20"/>
      <c r="F314" s="20"/>
      <c r="J314" s="16"/>
      <c r="K314" s="16"/>
    </row>
    <row r="315" spans="3:11" s="15" customFormat="1" ht="11.25" customHeight="1">
      <c r="C315" s="20"/>
      <c r="D315" s="20"/>
      <c r="E315" s="20"/>
      <c r="F315" s="20"/>
      <c r="J315" s="16"/>
      <c r="K315" s="16"/>
    </row>
    <row r="316" spans="3:11" s="15" customFormat="1" ht="11.25" customHeight="1">
      <c r="C316" s="20"/>
      <c r="D316" s="20"/>
      <c r="E316" s="20"/>
      <c r="F316" s="20"/>
      <c r="J316" s="16"/>
      <c r="K316" s="16"/>
    </row>
    <row r="317" spans="3:11" s="15" customFormat="1" ht="11.25" customHeight="1">
      <c r="C317" s="20"/>
      <c r="D317" s="20"/>
      <c r="E317" s="20"/>
      <c r="F317" s="20"/>
      <c r="J317" s="16"/>
      <c r="K317" s="16"/>
    </row>
    <row r="318" spans="3:11" s="15" customFormat="1" ht="11.25" customHeight="1">
      <c r="C318" s="20"/>
      <c r="D318" s="20"/>
      <c r="E318" s="20"/>
      <c r="F318" s="20"/>
      <c r="J318" s="16"/>
      <c r="K318" s="16"/>
    </row>
    <row r="319" spans="3:11" s="15" customFormat="1" ht="11.25" customHeight="1">
      <c r="C319" s="20"/>
      <c r="D319" s="20"/>
      <c r="E319" s="20"/>
      <c r="F319" s="20"/>
      <c r="J319" s="16"/>
      <c r="K319" s="16"/>
    </row>
    <row r="320" spans="3:11" s="15" customFormat="1" ht="11.25" customHeight="1">
      <c r="C320" s="20"/>
      <c r="D320" s="20"/>
      <c r="E320" s="20"/>
      <c r="F320" s="20"/>
      <c r="J320" s="16"/>
      <c r="K320" s="16"/>
    </row>
    <row r="321" spans="3:11" s="15" customFormat="1" ht="11.25" customHeight="1">
      <c r="C321" s="20"/>
      <c r="D321" s="20"/>
      <c r="E321" s="20"/>
      <c r="F321" s="20"/>
      <c r="J321" s="16"/>
      <c r="K321" s="16"/>
    </row>
    <row r="322" spans="3:11" s="15" customFormat="1" ht="11.25" customHeight="1">
      <c r="C322" s="20"/>
      <c r="D322" s="20"/>
      <c r="E322" s="20"/>
      <c r="F322" s="20"/>
      <c r="J322" s="16"/>
      <c r="K322" s="16"/>
    </row>
    <row r="323" spans="3:11" s="15" customFormat="1" ht="11.25" customHeight="1">
      <c r="C323" s="20"/>
      <c r="D323" s="20"/>
      <c r="E323" s="20"/>
      <c r="F323" s="20"/>
      <c r="J323" s="16"/>
      <c r="K323" s="16"/>
    </row>
    <row r="324" spans="3:11" s="15" customFormat="1" ht="11.25" customHeight="1">
      <c r="C324" s="20"/>
      <c r="D324" s="20"/>
      <c r="E324" s="20"/>
      <c r="F324" s="20"/>
      <c r="J324" s="16"/>
      <c r="K324" s="16"/>
    </row>
    <row r="325" spans="3:11" s="15" customFormat="1" ht="11.25" customHeight="1">
      <c r="C325" s="20"/>
      <c r="D325" s="20"/>
      <c r="E325" s="20"/>
      <c r="F325" s="20"/>
      <c r="J325" s="16"/>
      <c r="K325" s="16"/>
    </row>
    <row r="326" spans="3:11" s="15" customFormat="1" ht="11.25" customHeight="1">
      <c r="C326" s="20"/>
      <c r="D326" s="20"/>
      <c r="E326" s="20"/>
      <c r="F326" s="20"/>
      <c r="J326" s="16"/>
      <c r="K326" s="16"/>
    </row>
    <row r="327" spans="3:11" s="15" customFormat="1" ht="11.25" customHeight="1">
      <c r="C327" s="20"/>
      <c r="D327" s="20"/>
      <c r="E327" s="20"/>
      <c r="F327" s="20"/>
      <c r="J327" s="16"/>
      <c r="K327" s="16"/>
    </row>
    <row r="328" spans="3:11" s="15" customFormat="1" ht="11.25" customHeight="1">
      <c r="C328" s="20"/>
      <c r="D328" s="20"/>
      <c r="E328" s="20"/>
      <c r="F328" s="20"/>
      <c r="J328" s="16"/>
      <c r="K328" s="16"/>
    </row>
    <row r="329" spans="3:11" s="15" customFormat="1" ht="11.25" customHeight="1">
      <c r="C329" s="20"/>
      <c r="D329" s="20"/>
      <c r="E329" s="20"/>
      <c r="F329" s="20"/>
      <c r="J329" s="16"/>
      <c r="K329" s="16"/>
    </row>
    <row r="330" spans="3:11" s="15" customFormat="1" ht="11.25" customHeight="1">
      <c r="C330" s="20"/>
      <c r="D330" s="20"/>
      <c r="E330" s="20"/>
      <c r="F330" s="20"/>
      <c r="J330" s="16"/>
      <c r="K330" s="16"/>
    </row>
    <row r="331" spans="3:11" s="15" customFormat="1" ht="11.25" customHeight="1">
      <c r="C331" s="20"/>
      <c r="D331" s="20"/>
      <c r="E331" s="20"/>
      <c r="F331" s="20"/>
      <c r="J331" s="16"/>
      <c r="K331" s="16"/>
    </row>
    <row r="332" spans="3:11" s="15" customFormat="1" ht="11.25" customHeight="1">
      <c r="C332" s="20"/>
      <c r="D332" s="20"/>
      <c r="E332" s="20"/>
      <c r="F332" s="20"/>
      <c r="J332" s="16"/>
      <c r="K332" s="16"/>
    </row>
    <row r="333" spans="3:11" s="15" customFormat="1" ht="11.25" customHeight="1">
      <c r="C333" s="20"/>
      <c r="D333" s="20"/>
      <c r="E333" s="20"/>
      <c r="F333" s="20"/>
      <c r="J333" s="16"/>
      <c r="K333" s="16"/>
    </row>
    <row r="334" spans="3:11" s="15" customFormat="1" ht="11.25" customHeight="1">
      <c r="C334" s="20"/>
      <c r="D334" s="20"/>
      <c r="E334" s="20"/>
      <c r="F334" s="20"/>
      <c r="J334" s="16"/>
      <c r="K334" s="16"/>
    </row>
    <row r="335" spans="3:11" s="15" customFormat="1" ht="11.25" customHeight="1">
      <c r="C335" s="20"/>
      <c r="D335" s="20"/>
      <c r="E335" s="20"/>
      <c r="F335" s="20"/>
      <c r="J335" s="16"/>
      <c r="K335" s="16"/>
    </row>
    <row r="336" spans="3:11" s="15" customFormat="1" ht="11.25" customHeight="1">
      <c r="C336" s="20"/>
      <c r="D336" s="20"/>
      <c r="E336" s="20"/>
      <c r="F336" s="20"/>
      <c r="J336" s="16"/>
      <c r="K336" s="16"/>
    </row>
    <row r="337" spans="3:11" s="15" customFormat="1" ht="11.25" customHeight="1">
      <c r="C337" s="20"/>
      <c r="D337" s="20"/>
      <c r="E337" s="20"/>
      <c r="F337" s="20"/>
      <c r="J337" s="16"/>
      <c r="K337" s="16"/>
    </row>
    <row r="338" spans="3:11" s="15" customFormat="1" ht="11.25" customHeight="1">
      <c r="C338" s="20"/>
      <c r="D338" s="20"/>
      <c r="E338" s="20"/>
      <c r="F338" s="20"/>
      <c r="J338" s="16"/>
      <c r="K338" s="16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heet="1" objects="1" scenarios="1" selectLockedCells="1"/>
  <mergeCells count="183">
    <mergeCell ref="H26:J27"/>
    <mergeCell ref="J103:M103"/>
    <mergeCell ref="J106:M106"/>
    <mergeCell ref="H34:J35"/>
    <mergeCell ref="H42:J43"/>
    <mergeCell ref="G106:I106"/>
    <mergeCell ref="G54:G55"/>
    <mergeCell ref="G70:G71"/>
    <mergeCell ref="G74:G75"/>
    <mergeCell ref="G58:G59"/>
    <mergeCell ref="C25:C26"/>
    <mergeCell ref="C43:C44"/>
    <mergeCell ref="C41:C42"/>
    <mergeCell ref="C33:C34"/>
    <mergeCell ref="C35:C36"/>
    <mergeCell ref="C37:C38"/>
    <mergeCell ref="L24:M25"/>
    <mergeCell ref="L12:M12"/>
    <mergeCell ref="Q12:R12"/>
    <mergeCell ref="C8:R8"/>
    <mergeCell ref="C12:D12"/>
    <mergeCell ref="F12:G12"/>
    <mergeCell ref="I12:J12"/>
    <mergeCell ref="O12:P12"/>
    <mergeCell ref="J10:M10"/>
    <mergeCell ref="E24:G25"/>
    <mergeCell ref="C2:R2"/>
    <mergeCell ref="C5:R5"/>
    <mergeCell ref="C6:R6"/>
    <mergeCell ref="C21:C22"/>
    <mergeCell ref="C17:C18"/>
    <mergeCell ref="F18:G19"/>
    <mergeCell ref="F22:G23"/>
    <mergeCell ref="H18:J19"/>
    <mergeCell ref="K22:M23"/>
    <mergeCell ref="C13:R14"/>
    <mergeCell ref="C45:C46"/>
    <mergeCell ref="C39:C40"/>
    <mergeCell ref="F50:F51"/>
    <mergeCell ref="D39:D40"/>
    <mergeCell ref="D41:D42"/>
    <mergeCell ref="D43:D44"/>
    <mergeCell ref="D45:D46"/>
    <mergeCell ref="C1:R1"/>
    <mergeCell ref="C3:P3"/>
    <mergeCell ref="C29:C30"/>
    <mergeCell ref="C31:C32"/>
    <mergeCell ref="C27:C28"/>
    <mergeCell ref="Q31:Q32"/>
    <mergeCell ref="I20:J21"/>
    <mergeCell ref="I28:J29"/>
    <mergeCell ref="C23:C24"/>
    <mergeCell ref="C19:C20"/>
    <mergeCell ref="N30:P31"/>
    <mergeCell ref="C15:C16"/>
    <mergeCell ref="O32:P33"/>
    <mergeCell ref="L40:M41"/>
    <mergeCell ref="I36:J37"/>
    <mergeCell ref="D33:D34"/>
    <mergeCell ref="D35:D36"/>
    <mergeCell ref="D37:D38"/>
    <mergeCell ref="E16:G17"/>
    <mergeCell ref="E20:G21"/>
    <mergeCell ref="I70:J71"/>
    <mergeCell ref="F38:G39"/>
    <mergeCell ref="F46:G47"/>
    <mergeCell ref="E40:G41"/>
    <mergeCell ref="E44:G45"/>
    <mergeCell ref="F60:G61"/>
    <mergeCell ref="F62:F63"/>
    <mergeCell ref="F68:G69"/>
    <mergeCell ref="I62:J63"/>
    <mergeCell ref="F54:F55"/>
    <mergeCell ref="G66:G67"/>
    <mergeCell ref="H60:J61"/>
    <mergeCell ref="H68:J69"/>
    <mergeCell ref="F56:G57"/>
    <mergeCell ref="F58:F59"/>
    <mergeCell ref="G62:G6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31:D32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E28:G29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64:D65"/>
    <mergeCell ref="D66:D67"/>
    <mergeCell ref="D68:D69"/>
    <mergeCell ref="D70:D71"/>
    <mergeCell ref="F26:G27"/>
    <mergeCell ref="F30:G31"/>
    <mergeCell ref="F42:G43"/>
    <mergeCell ref="E32:G33"/>
    <mergeCell ref="E36:G37"/>
    <mergeCell ref="F34:G35"/>
    <mergeCell ref="H76:J77"/>
    <mergeCell ref="G95:G96"/>
    <mergeCell ref="G97:G98"/>
    <mergeCell ref="G87:G88"/>
    <mergeCell ref="F70:F71"/>
    <mergeCell ref="F64:G65"/>
    <mergeCell ref="F66:F67"/>
    <mergeCell ref="F72:G73"/>
    <mergeCell ref="F74:F75"/>
    <mergeCell ref="G78:G79"/>
    <mergeCell ref="D56:D57"/>
    <mergeCell ref="D58:D59"/>
    <mergeCell ref="D60:D61"/>
    <mergeCell ref="D62:D63"/>
    <mergeCell ref="I99:J100"/>
    <mergeCell ref="F76:G77"/>
    <mergeCell ref="F78:F79"/>
    <mergeCell ref="F80:G81"/>
    <mergeCell ref="I78:J79"/>
    <mergeCell ref="I85:I86"/>
    <mergeCell ref="C102:E102"/>
    <mergeCell ref="C105:E105"/>
    <mergeCell ref="J102:M102"/>
    <mergeCell ref="J105:M105"/>
    <mergeCell ref="G102:I102"/>
    <mergeCell ref="G103:I10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37:A38"/>
    <mergeCell ref="A39:A40"/>
    <mergeCell ref="A41:A42"/>
    <mergeCell ref="A43:A44"/>
    <mergeCell ref="A29:A30"/>
    <mergeCell ref="A31:A32"/>
    <mergeCell ref="A33:A34"/>
    <mergeCell ref="A35:A36"/>
    <mergeCell ref="A45:A46"/>
    <mergeCell ref="D50:D51"/>
    <mergeCell ref="D52:D53"/>
    <mergeCell ref="D54:D55"/>
    <mergeCell ref="C48:R49"/>
    <mergeCell ref="H52:J53"/>
    <mergeCell ref="F52:G53"/>
    <mergeCell ref="I54:J55"/>
    <mergeCell ref="I44:J45"/>
    <mergeCell ref="G50:G51"/>
    <mergeCell ref="D72:D73"/>
    <mergeCell ref="G89:G90"/>
    <mergeCell ref="G91:G92"/>
    <mergeCell ref="G93:G94"/>
    <mergeCell ref="D74:D75"/>
    <mergeCell ref="D76:D77"/>
    <mergeCell ref="D78:D79"/>
    <mergeCell ref="G85:G86"/>
    <mergeCell ref="C83:R84"/>
    <mergeCell ref="D80:D81"/>
  </mergeCells>
  <conditionalFormatting sqref="E18 E22 H20 E26 E30 E34 E38 E42 E46 H44 H36 H28 K24 N32 K40 H54 H62 H70 H78 K74 K58 N66 K89 K97 N93">
    <cfRule type="cellIs" priority="1" dxfId="57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61" stopIfTrue="1">
      <formula>$A$121=FALSE</formula>
    </cfRule>
  </conditionalFormatting>
  <conditionalFormatting sqref="F78:F79 F54:F55 F58:F59 F62:F63 F66:F67 F70:F71 F74:F75">
    <cfRule type="expression" priority="3" dxfId="60" stopIfTrue="1">
      <formula>LEFT($F54,3)="пр."</formula>
    </cfRule>
  </conditionalFormatting>
  <conditionalFormatting sqref="I97:I98 I89:I90 I93:I94">
    <cfRule type="expression" priority="4" dxfId="60" stopIfTrue="1">
      <formula>LEFT($I89,3)="пр."</formula>
    </cfRule>
  </conditionalFormatting>
  <conditionalFormatting sqref="F50:F51">
    <cfRule type="expression" priority="5" dxfId="60" stopIfTrue="1">
      <formula>LEFT($F50,3)="пр."</formula>
    </cfRule>
  </conditionalFormatting>
  <conditionalFormatting sqref="H52:J53 H60:J61 H76:J77 H68:J69 K56:M57 K72:M73 N64:P65 K87:M88 K95:M96 N91:P92">
    <cfRule type="expression" priority="6" dxfId="60" stopIfTrue="1">
      <formula>LEFT(H52,4)="поб."</formula>
    </cfRule>
  </conditionalFormatting>
  <conditionalFormatting sqref="I85:I86">
    <cfRule type="expression" priority="7" dxfId="60" stopIfTrue="1">
      <formula>LEFT($I85,3)="пр."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2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281"/>
  <sheetViews>
    <sheetView showGridLines="0" showRowColHeaders="0" zoomScale="115" zoomScaleNormal="115" zoomScalePageLayoutView="0" workbookViewId="0" topLeftCell="A1">
      <pane ySplit="11" topLeftCell="A12" activePane="bottomLeft" state="frozen"/>
      <selection pane="topLeft" activeCell="A5" sqref="A5:R5"/>
      <selection pane="bottomLeft" activeCell="E71" sqref="E71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22.25390625" style="0" customWidth="1"/>
    <col min="4" max="4" width="16.00390625" style="26" customWidth="1"/>
    <col min="5" max="5" width="13.75390625" style="26" customWidth="1"/>
    <col min="6" max="6" width="9.25390625" style="26" customWidth="1"/>
    <col min="7" max="7" width="9.875" style="26" customWidth="1"/>
    <col min="8" max="8" width="11.125" style="26" customWidth="1"/>
    <col min="9" max="10" width="3.00390625" style="0" hidden="1" customWidth="1"/>
    <col min="11" max="11" width="3.375" style="0" hidden="1" customWidth="1"/>
    <col min="12" max="12" width="3.00390625" style="0" hidden="1" customWidth="1"/>
    <col min="13" max="13" width="3.375" style="0" hidden="1" customWidth="1"/>
    <col min="14" max="14" width="16.75390625" style="0" hidden="1" customWidth="1"/>
    <col min="15" max="15" width="9.125" style="0" hidden="1" customWidth="1"/>
  </cols>
  <sheetData>
    <row r="1" ht="12.75" hidden="1">
      <c r="H1" s="27" t="s">
        <v>29</v>
      </c>
    </row>
    <row r="2" ht="12.75" hidden="1"/>
    <row r="3" spans="1:8" ht="12.75">
      <c r="A3" s="555" t="s">
        <v>30</v>
      </c>
      <c r="B3" s="555"/>
      <c r="C3" s="555"/>
      <c r="D3" s="555"/>
      <c r="E3" s="555"/>
      <c r="F3" s="555"/>
      <c r="G3" s="555"/>
      <c r="H3" s="555"/>
    </row>
    <row r="4" spans="1:8" ht="15">
      <c r="A4" s="6"/>
      <c r="B4" s="6"/>
      <c r="C4" s="770" t="str">
        <f>UPPER(Установка!C3)</f>
        <v>ТВД-ЛЕТНЕЕ ПЕРВЕНСТВО Г.КАЗАНИ</v>
      </c>
      <c r="D4" s="770"/>
      <c r="E4" s="770"/>
      <c r="F4" s="770"/>
      <c r="G4" s="770"/>
      <c r="H4" s="28"/>
    </row>
    <row r="5" spans="3:8" s="37" customFormat="1" ht="12.75">
      <c r="C5" s="557"/>
      <c r="D5" s="557"/>
      <c r="E5" s="557"/>
      <c r="F5" s="557"/>
      <c r="G5" s="557"/>
      <c r="H5" s="38"/>
    </row>
    <row r="6" spans="4:8" s="260" customFormat="1" ht="12">
      <c r="D6" s="261" t="s">
        <v>31</v>
      </c>
      <c r="E6" s="772" t="str">
        <f>UPPER(Установка!C4)</f>
        <v>14 ЛЕТ И МОЛОЖЕ</v>
      </c>
      <c r="F6" s="772"/>
      <c r="G6" s="261"/>
      <c r="H6" s="262" t="str">
        <f>IF(Установка!$C$5="","Ю/Д/М/Ж",UPPER(Установка!$C$5))</f>
        <v>ДЕВУШКИ</v>
      </c>
    </row>
    <row r="7" spans="1:8" s="263" customFormat="1" ht="12">
      <c r="A7" s="766" t="s">
        <v>4</v>
      </c>
      <c r="B7" s="766"/>
      <c r="C7" s="550" t="str">
        <f>UPPER(Установка!C6)</f>
        <v>Г.КАЗАНЬ</v>
      </c>
      <c r="D7" s="264" t="s">
        <v>0</v>
      </c>
      <c r="E7" s="265" t="str">
        <f>UPPER(Установка!C7)</f>
        <v>06.06-08.06.2014</v>
      </c>
      <c r="G7" s="266" t="s">
        <v>28</v>
      </c>
      <c r="H7" s="265" t="str">
        <f>UPPER(Установка!C8)</f>
        <v>VГ</v>
      </c>
    </row>
    <row r="8" spans="1:6" s="254" customFormat="1" ht="8.25" customHeight="1">
      <c r="A8" s="689"/>
      <c r="B8" s="689"/>
      <c r="C8" s="689"/>
      <c r="D8" s="252"/>
      <c r="F8" s="253"/>
    </row>
    <row r="9" ht="6.75" customHeight="1">
      <c r="C9" s="61"/>
    </row>
    <row r="10" spans="1:8" ht="36" customHeight="1">
      <c r="A10" s="771" t="s">
        <v>16</v>
      </c>
      <c r="B10" s="762" t="s">
        <v>92</v>
      </c>
      <c r="C10" s="763"/>
      <c r="D10" s="771" t="s">
        <v>34</v>
      </c>
      <c r="E10" s="771" t="s">
        <v>38</v>
      </c>
      <c r="F10" s="771" t="s">
        <v>35</v>
      </c>
      <c r="G10" s="29" t="s">
        <v>36</v>
      </c>
      <c r="H10" s="771" t="s">
        <v>39</v>
      </c>
    </row>
    <row r="11" spans="1:8" s="26" customFormat="1" ht="10.5" customHeight="1">
      <c r="A11" s="771"/>
      <c r="B11" s="764"/>
      <c r="C11" s="765"/>
      <c r="D11" s="771"/>
      <c r="E11" s="771"/>
      <c r="F11" s="771"/>
      <c r="G11" s="44">
        <f>Установка!C10</f>
        <v>41791</v>
      </c>
      <c r="H11" s="771"/>
    </row>
    <row r="12" spans="1:15" s="30" customFormat="1" ht="12.75" customHeight="1">
      <c r="A12" s="255">
        <v>1</v>
      </c>
      <c r="B12" s="256" t="s">
        <v>173</v>
      </c>
      <c r="C12" s="327"/>
      <c r="D12" s="257">
        <v>37296</v>
      </c>
      <c r="E12" s="258" t="s">
        <v>177</v>
      </c>
      <c r="F12" s="258">
        <v>25747</v>
      </c>
      <c r="G12" s="258">
        <v>48</v>
      </c>
      <c r="H12" s="258" t="s">
        <v>182</v>
      </c>
      <c r="I12" s="244">
        <f>LEN(B12)</f>
        <v>23</v>
      </c>
      <c r="J12" s="244">
        <f>IF((I12)=0,0,FIND(" ",B12))</f>
        <v>8</v>
      </c>
      <c r="K12" s="244" t="str">
        <f>IF(OR(ISERR(J12),I12=0),"",CONCATENATE(MID(B12,J12+1,1),"."))</f>
        <v>Д.</v>
      </c>
      <c r="L12" s="244">
        <f>IF(LEN(B12)=0,0,FIND(" ",B12,J12+1))</f>
        <v>14</v>
      </c>
      <c r="M12" s="244" t="str">
        <f>IF(OR(I12=0,ISERR(L12)),"",CONCATENATE(MID(B12,L12+1,1),"."))</f>
        <v>Д.</v>
      </c>
      <c r="N12" s="244" t="str">
        <f>IF(B12="","",IF(ISERR(J12),UPPER(B12),UPPER(MID(B12,1,J12-1))))</f>
        <v>ЕВСЕЕВА</v>
      </c>
      <c r="O12" s="244" t="str">
        <f>CONCATENATE(K12,M12)</f>
        <v>Д.Д.</v>
      </c>
    </row>
    <row r="13" spans="1:15" s="30" customFormat="1" ht="12.75">
      <c r="A13" s="255">
        <v>2</v>
      </c>
      <c r="B13" s="256" t="s">
        <v>169</v>
      </c>
      <c r="C13" s="327"/>
      <c r="D13" s="257">
        <v>37026</v>
      </c>
      <c r="E13" s="258" t="s">
        <v>177</v>
      </c>
      <c r="F13" s="258">
        <v>24648</v>
      </c>
      <c r="G13" s="258">
        <v>143</v>
      </c>
      <c r="H13" s="258" t="s">
        <v>182</v>
      </c>
      <c r="I13" s="244">
        <f aca="true" t="shared" si="0" ref="I13:I70">LEN(B13)</f>
        <v>33</v>
      </c>
      <c r="J13" s="244">
        <f aca="true" t="shared" si="1" ref="J13:J70">IF((I13)=0,0,FIND(" ",B13))</f>
        <v>10</v>
      </c>
      <c r="K13" s="244" t="str">
        <f aca="true" t="shared" si="2" ref="K13:K70">IF(OR(ISERR(J13),I13=0),"",CONCATENATE(MID(B13,J13+1,1),"."))</f>
        <v>А.</v>
      </c>
      <c r="L13" s="244">
        <f aca="true" t="shared" si="3" ref="L13:L70">IF(LEN(B13)=0,0,FIND(" ",B13,J13+1))</f>
        <v>20</v>
      </c>
      <c r="M13" s="244" t="str">
        <f aca="true" t="shared" si="4" ref="M13:M70">IF(OR(I13=0,ISERR(L13)),"",CONCATENATE(MID(B13,L13+1,1),"."))</f>
        <v>А.</v>
      </c>
      <c r="N13" s="244" t="str">
        <f aca="true" t="shared" si="5" ref="N13:N70">IF(B13="","",IF(ISERR(J13),UPPER(B13),UPPER(MID(B13,1,J13-1))))</f>
        <v>КУЗНЕЦОВА</v>
      </c>
      <c r="O13" s="244" t="str">
        <f aca="true" t="shared" si="6" ref="O13:O70">CONCATENATE(K13,M13)</f>
        <v>А.А.</v>
      </c>
    </row>
    <row r="14" spans="1:15" s="30" customFormat="1" ht="12.75">
      <c r="A14" s="255">
        <v>3</v>
      </c>
      <c r="B14" s="256" t="s">
        <v>172</v>
      </c>
      <c r="C14" s="327"/>
      <c r="D14" s="257">
        <v>37604</v>
      </c>
      <c r="E14" s="258" t="s">
        <v>177</v>
      </c>
      <c r="F14" s="258">
        <v>25785</v>
      </c>
      <c r="G14" s="258">
        <v>49</v>
      </c>
      <c r="H14" s="258" t="s">
        <v>182</v>
      </c>
      <c r="I14" s="244">
        <f t="shared" si="0"/>
        <v>28</v>
      </c>
      <c r="J14" s="244">
        <f t="shared" si="1"/>
        <v>9</v>
      </c>
      <c r="K14" s="244" t="str">
        <f t="shared" si="2"/>
        <v>А.</v>
      </c>
      <c r="L14" s="244">
        <f t="shared" si="3"/>
        <v>15</v>
      </c>
      <c r="M14" s="244" t="str">
        <f t="shared" si="4"/>
        <v>А.</v>
      </c>
      <c r="N14" s="244" t="str">
        <f t="shared" si="5"/>
        <v>МАКАРОВА</v>
      </c>
      <c r="O14" s="244" t="str">
        <f t="shared" si="6"/>
        <v>А.А.</v>
      </c>
    </row>
    <row r="15" spans="1:15" s="30" customFormat="1" ht="12.75">
      <c r="A15" s="255">
        <v>4</v>
      </c>
      <c r="B15" s="256" t="s">
        <v>176</v>
      </c>
      <c r="C15" s="327"/>
      <c r="D15" s="257">
        <v>36566</v>
      </c>
      <c r="E15" s="259" t="s">
        <v>180</v>
      </c>
      <c r="F15" s="259">
        <v>31956</v>
      </c>
      <c r="G15" s="259">
        <v>0</v>
      </c>
      <c r="H15" s="258" t="s">
        <v>182</v>
      </c>
      <c r="I15" s="244">
        <f t="shared" si="0"/>
        <v>25</v>
      </c>
      <c r="J15" s="244">
        <f t="shared" si="1"/>
        <v>10</v>
      </c>
      <c r="K15" s="244" t="str">
        <f t="shared" si="2"/>
        <v>О.</v>
      </c>
      <c r="L15" s="244">
        <f t="shared" si="3"/>
        <v>16</v>
      </c>
      <c r="M15" s="244" t="str">
        <f t="shared" si="4"/>
        <v>С.</v>
      </c>
      <c r="N15" s="244" t="str">
        <f t="shared" si="5"/>
        <v>МАКСИМОВА</v>
      </c>
      <c r="O15" s="244" t="str">
        <f t="shared" si="6"/>
        <v>О.С.</v>
      </c>
    </row>
    <row r="16" spans="1:15" s="30" customFormat="1" ht="12.75">
      <c r="A16" s="255">
        <v>5</v>
      </c>
      <c r="B16" s="256" t="s">
        <v>170</v>
      </c>
      <c r="C16" s="327"/>
      <c r="D16" s="257">
        <v>36995</v>
      </c>
      <c r="E16" s="259" t="s">
        <v>177</v>
      </c>
      <c r="F16" s="259">
        <v>22970</v>
      </c>
      <c r="G16" s="259">
        <v>91</v>
      </c>
      <c r="H16" s="259" t="s">
        <v>182</v>
      </c>
      <c r="I16" s="244">
        <f t="shared" si="0"/>
        <v>28</v>
      </c>
      <c r="J16" s="244">
        <f t="shared" si="1"/>
        <v>9</v>
      </c>
      <c r="K16" s="244" t="str">
        <f t="shared" si="2"/>
        <v>Е.</v>
      </c>
      <c r="L16" s="244">
        <f t="shared" si="3"/>
        <v>19</v>
      </c>
      <c r="M16" s="244" t="str">
        <f t="shared" si="4"/>
        <v>А.</v>
      </c>
      <c r="N16" s="244" t="str">
        <f t="shared" si="5"/>
        <v>МАТВЕЕВА</v>
      </c>
      <c r="O16" s="244" t="str">
        <f t="shared" si="6"/>
        <v>Е.А.</v>
      </c>
    </row>
    <row r="17" spans="1:15" s="30" customFormat="1" ht="12.75">
      <c r="A17" s="255">
        <v>6</v>
      </c>
      <c r="B17" s="256" t="s">
        <v>168</v>
      </c>
      <c r="C17" s="327"/>
      <c r="D17" s="257">
        <v>37469</v>
      </c>
      <c r="E17" s="258" t="s">
        <v>179</v>
      </c>
      <c r="F17" s="258">
        <v>25664</v>
      </c>
      <c r="G17" s="258">
        <v>221</v>
      </c>
      <c r="H17" s="258" t="s">
        <v>182</v>
      </c>
      <c r="I17" s="244">
        <f t="shared" si="0"/>
        <v>26</v>
      </c>
      <c r="J17" s="244">
        <f t="shared" si="1"/>
        <v>10</v>
      </c>
      <c r="K17" s="244" t="str">
        <f t="shared" si="2"/>
        <v>А.</v>
      </c>
      <c r="L17" s="244">
        <f t="shared" si="3"/>
        <v>16</v>
      </c>
      <c r="M17" s="244" t="str">
        <f t="shared" si="4"/>
        <v>Р.</v>
      </c>
      <c r="N17" s="244" t="str">
        <f t="shared" si="5"/>
        <v>МИФТАХОВА</v>
      </c>
      <c r="O17" s="244" t="str">
        <f t="shared" si="6"/>
        <v>А.Р.</v>
      </c>
    </row>
    <row r="18" spans="1:15" s="30" customFormat="1" ht="12.75">
      <c r="A18" s="255">
        <v>7</v>
      </c>
      <c r="B18" s="256" t="s">
        <v>175</v>
      </c>
      <c r="C18" s="327"/>
      <c r="D18" s="257">
        <v>37587</v>
      </c>
      <c r="E18" s="259" t="s">
        <v>177</v>
      </c>
      <c r="F18" s="259">
        <v>27967</v>
      </c>
      <c r="G18" s="259">
        <v>34</v>
      </c>
      <c r="H18" s="259" t="s">
        <v>182</v>
      </c>
      <c r="I18" s="244">
        <f t="shared" si="0"/>
        <v>29</v>
      </c>
      <c r="J18" s="244">
        <f t="shared" si="1"/>
        <v>13</v>
      </c>
      <c r="K18" s="244" t="str">
        <f t="shared" si="2"/>
        <v>Д.</v>
      </c>
      <c r="L18" s="244">
        <f t="shared" si="3"/>
        <v>19</v>
      </c>
      <c r="M18" s="244" t="str">
        <f t="shared" si="4"/>
        <v>И.</v>
      </c>
      <c r="N18" s="244" t="str">
        <f t="shared" si="5"/>
        <v>НИГМЕДЗЯНОВА</v>
      </c>
      <c r="O18" s="244" t="str">
        <f t="shared" si="6"/>
        <v>Д.И.</v>
      </c>
    </row>
    <row r="19" spans="1:15" s="30" customFormat="1" ht="12.75">
      <c r="A19" s="255">
        <v>8</v>
      </c>
      <c r="B19" s="256" t="s">
        <v>167</v>
      </c>
      <c r="C19" s="327"/>
      <c r="D19" s="257">
        <v>37331</v>
      </c>
      <c r="E19" s="258" t="s">
        <v>178</v>
      </c>
      <c r="F19" s="258">
        <v>25767</v>
      </c>
      <c r="G19" s="258">
        <v>235</v>
      </c>
      <c r="H19" s="258" t="s">
        <v>182</v>
      </c>
      <c r="I19" s="244">
        <f t="shared" si="0"/>
        <v>23</v>
      </c>
      <c r="J19" s="244">
        <f t="shared" si="1"/>
        <v>9</v>
      </c>
      <c r="K19" s="244" t="str">
        <f t="shared" si="2"/>
        <v>З.</v>
      </c>
      <c r="L19" s="244">
        <f t="shared" si="3"/>
        <v>15</v>
      </c>
      <c r="M19" s="244" t="str">
        <f t="shared" si="4"/>
        <v>М.</v>
      </c>
      <c r="N19" s="244" t="str">
        <f t="shared" si="5"/>
        <v>САМИТОВА</v>
      </c>
      <c r="O19" s="244" t="str">
        <f t="shared" si="6"/>
        <v>З.М.</v>
      </c>
    </row>
    <row r="20" spans="1:15" s="30" customFormat="1" ht="12.75">
      <c r="A20" s="255">
        <v>9</v>
      </c>
      <c r="B20" s="256" t="s">
        <v>171</v>
      </c>
      <c r="C20" s="327"/>
      <c r="D20" s="257">
        <v>37769</v>
      </c>
      <c r="E20" s="258" t="s">
        <v>177</v>
      </c>
      <c r="F20" s="258">
        <v>29434</v>
      </c>
      <c r="G20" s="258">
        <v>54</v>
      </c>
      <c r="H20" s="258" t="s">
        <v>182</v>
      </c>
      <c r="I20" s="244">
        <f t="shared" si="0"/>
        <v>29</v>
      </c>
      <c r="J20" s="244">
        <f t="shared" si="1"/>
        <v>13</v>
      </c>
      <c r="K20" s="244" t="str">
        <f t="shared" si="2"/>
        <v>Э.</v>
      </c>
      <c r="L20" s="244">
        <f t="shared" si="3"/>
        <v>19</v>
      </c>
      <c r="M20" s="244" t="str">
        <f t="shared" si="4"/>
        <v>Э.</v>
      </c>
      <c r="N20" s="244" t="str">
        <f t="shared" si="5"/>
        <v>СУНГАТУЛЛИНА</v>
      </c>
      <c r="O20" s="244" t="str">
        <f t="shared" si="6"/>
        <v>Э.Э.</v>
      </c>
    </row>
    <row r="21" spans="1:15" s="30" customFormat="1" ht="12.75">
      <c r="A21" s="255">
        <f aca="true" t="shared" si="7" ref="A21:A70">ROW()-11</f>
        <v>10</v>
      </c>
      <c r="B21" s="256" t="s">
        <v>166</v>
      </c>
      <c r="C21" s="327"/>
      <c r="D21" s="257">
        <v>37371</v>
      </c>
      <c r="E21" s="258" t="s">
        <v>177</v>
      </c>
      <c r="F21" s="258">
        <v>25012</v>
      </c>
      <c r="G21" s="258">
        <v>357</v>
      </c>
      <c r="H21" s="258" t="s">
        <v>182</v>
      </c>
      <c r="I21" s="244">
        <f t="shared" si="0"/>
        <v>22</v>
      </c>
      <c r="J21" s="244">
        <f t="shared" si="1"/>
        <v>9</v>
      </c>
      <c r="K21" s="244" t="str">
        <f t="shared" si="2"/>
        <v>Д.</v>
      </c>
      <c r="L21" s="244">
        <f t="shared" si="3"/>
        <v>14</v>
      </c>
      <c r="M21" s="244" t="str">
        <f t="shared" si="4"/>
        <v>Э.</v>
      </c>
      <c r="N21" s="244" t="str">
        <f t="shared" si="5"/>
        <v>ШАКИРОВА</v>
      </c>
      <c r="O21" s="244" t="str">
        <f t="shared" si="6"/>
        <v>Д.Э.</v>
      </c>
    </row>
    <row r="22" spans="1:15" s="30" customFormat="1" ht="12.75">
      <c r="A22" s="255">
        <f t="shared" si="7"/>
        <v>11</v>
      </c>
      <c r="B22" s="256" t="s">
        <v>174</v>
      </c>
      <c r="C22" s="327"/>
      <c r="D22" s="257">
        <v>37282</v>
      </c>
      <c r="E22" s="259" t="s">
        <v>177</v>
      </c>
      <c r="F22" s="259">
        <v>25221</v>
      </c>
      <c r="G22" s="259">
        <v>37</v>
      </c>
      <c r="H22" s="259" t="s">
        <v>182</v>
      </c>
      <c r="I22" s="244">
        <f t="shared" si="0"/>
        <v>23</v>
      </c>
      <c r="J22" s="244">
        <f t="shared" si="1"/>
        <v>9</v>
      </c>
      <c r="K22" s="244" t="str">
        <f t="shared" si="2"/>
        <v>Л.</v>
      </c>
      <c r="L22" s="244">
        <f t="shared" si="3"/>
        <v>14</v>
      </c>
      <c r="M22" s="244" t="str">
        <f t="shared" si="4"/>
        <v>С.</v>
      </c>
      <c r="N22" s="244" t="str">
        <f t="shared" si="5"/>
        <v>ШИМАРИНА</v>
      </c>
      <c r="O22" s="244" t="str">
        <f t="shared" si="6"/>
        <v>Л.С.</v>
      </c>
    </row>
    <row r="23" spans="1:15" s="30" customFormat="1" ht="12.75" hidden="1">
      <c r="A23" s="255">
        <f t="shared" si="7"/>
        <v>12</v>
      </c>
      <c r="B23" s="256"/>
      <c r="C23" s="327"/>
      <c r="D23" s="257"/>
      <c r="E23" s="258"/>
      <c r="F23" s="258"/>
      <c r="G23" s="258"/>
      <c r="H23" s="258"/>
      <c r="I23" s="244">
        <f t="shared" si="0"/>
        <v>0</v>
      </c>
      <c r="J23" s="244">
        <f t="shared" si="1"/>
        <v>0</v>
      </c>
      <c r="K23" s="244">
        <f t="shared" si="2"/>
      </c>
      <c r="L23" s="244">
        <f t="shared" si="3"/>
        <v>0</v>
      </c>
      <c r="M23" s="244">
        <f t="shared" si="4"/>
      </c>
      <c r="N23" s="244">
        <f t="shared" si="5"/>
      </c>
      <c r="O23" s="244">
        <f t="shared" si="6"/>
      </c>
    </row>
    <row r="24" spans="1:15" s="30" customFormat="1" ht="12.75" hidden="1">
      <c r="A24" s="255">
        <f t="shared" si="7"/>
        <v>13</v>
      </c>
      <c r="B24" s="256"/>
      <c r="C24" s="327"/>
      <c r="D24" s="257"/>
      <c r="E24" s="258"/>
      <c r="F24" s="258"/>
      <c r="G24" s="258"/>
      <c r="H24" s="258"/>
      <c r="I24" s="244">
        <f t="shared" si="0"/>
        <v>0</v>
      </c>
      <c r="J24" s="244">
        <f t="shared" si="1"/>
        <v>0</v>
      </c>
      <c r="K24" s="244">
        <f t="shared" si="2"/>
      </c>
      <c r="L24" s="244">
        <f t="shared" si="3"/>
        <v>0</v>
      </c>
      <c r="M24" s="244">
        <f t="shared" si="4"/>
      </c>
      <c r="N24" s="244">
        <f t="shared" si="5"/>
      </c>
      <c r="O24" s="244">
        <f t="shared" si="6"/>
      </c>
    </row>
    <row r="25" spans="1:15" s="30" customFormat="1" ht="12.75" hidden="1">
      <c r="A25" s="255">
        <f t="shared" si="7"/>
        <v>14</v>
      </c>
      <c r="B25" s="256"/>
      <c r="C25" s="327"/>
      <c r="D25" s="257"/>
      <c r="E25" s="259"/>
      <c r="F25" s="259"/>
      <c r="G25" s="259"/>
      <c r="H25" s="259"/>
      <c r="I25" s="244">
        <f t="shared" si="0"/>
        <v>0</v>
      </c>
      <c r="J25" s="244">
        <f t="shared" si="1"/>
        <v>0</v>
      </c>
      <c r="K25" s="244">
        <f t="shared" si="2"/>
      </c>
      <c r="L25" s="244">
        <f t="shared" si="3"/>
        <v>0</v>
      </c>
      <c r="M25" s="244">
        <f t="shared" si="4"/>
      </c>
      <c r="N25" s="244">
        <f t="shared" si="5"/>
      </c>
      <c r="O25" s="244">
        <f t="shared" si="6"/>
      </c>
    </row>
    <row r="26" spans="1:15" s="30" customFormat="1" ht="12.75" hidden="1">
      <c r="A26" s="255">
        <f t="shared" si="7"/>
        <v>15</v>
      </c>
      <c r="B26" s="256"/>
      <c r="C26" s="327"/>
      <c r="D26" s="257"/>
      <c r="E26" s="258"/>
      <c r="F26" s="258"/>
      <c r="G26" s="258"/>
      <c r="H26" s="258"/>
      <c r="I26" s="244">
        <f t="shared" si="0"/>
        <v>0</v>
      </c>
      <c r="J26" s="244">
        <f t="shared" si="1"/>
        <v>0</v>
      </c>
      <c r="K26" s="244">
        <f t="shared" si="2"/>
      </c>
      <c r="L26" s="244">
        <f t="shared" si="3"/>
        <v>0</v>
      </c>
      <c r="M26" s="244">
        <f t="shared" si="4"/>
      </c>
      <c r="N26" s="244">
        <f t="shared" si="5"/>
      </c>
      <c r="O26" s="244">
        <f t="shared" si="6"/>
      </c>
    </row>
    <row r="27" spans="1:15" s="30" customFormat="1" ht="12.75" hidden="1">
      <c r="A27" s="255">
        <f t="shared" si="7"/>
        <v>16</v>
      </c>
      <c r="B27" s="256"/>
      <c r="C27" s="327"/>
      <c r="D27" s="257"/>
      <c r="E27" s="259"/>
      <c r="F27" s="259"/>
      <c r="G27" s="259"/>
      <c r="H27" s="259"/>
      <c r="I27" s="244">
        <f t="shared" si="0"/>
        <v>0</v>
      </c>
      <c r="J27" s="244">
        <f t="shared" si="1"/>
        <v>0</v>
      </c>
      <c r="K27" s="244">
        <f t="shared" si="2"/>
      </c>
      <c r="L27" s="244">
        <f t="shared" si="3"/>
        <v>0</v>
      </c>
      <c r="M27" s="244">
        <f t="shared" si="4"/>
      </c>
      <c r="N27" s="244">
        <f t="shared" si="5"/>
      </c>
      <c r="O27" s="244">
        <f t="shared" si="6"/>
      </c>
    </row>
    <row r="28" spans="1:15" s="30" customFormat="1" ht="12.75" hidden="1">
      <c r="A28" s="255">
        <f t="shared" si="7"/>
        <v>17</v>
      </c>
      <c r="B28" s="256"/>
      <c r="C28" s="327"/>
      <c r="D28" s="257"/>
      <c r="E28" s="259"/>
      <c r="F28" s="259"/>
      <c r="G28" s="259"/>
      <c r="H28" s="259"/>
      <c r="I28" s="244">
        <f t="shared" si="0"/>
        <v>0</v>
      </c>
      <c r="J28" s="244">
        <f t="shared" si="1"/>
        <v>0</v>
      </c>
      <c r="K28" s="244">
        <f t="shared" si="2"/>
      </c>
      <c r="L28" s="244">
        <f t="shared" si="3"/>
        <v>0</v>
      </c>
      <c r="M28" s="244">
        <f t="shared" si="4"/>
      </c>
      <c r="N28" s="244">
        <f t="shared" si="5"/>
      </c>
      <c r="O28" s="244">
        <f t="shared" si="6"/>
      </c>
    </row>
    <row r="29" spans="1:15" s="30" customFormat="1" ht="12.75" hidden="1">
      <c r="A29" s="255">
        <f t="shared" si="7"/>
        <v>18</v>
      </c>
      <c r="B29" s="256"/>
      <c r="C29" s="327"/>
      <c r="D29" s="257"/>
      <c r="E29" s="258"/>
      <c r="F29" s="258"/>
      <c r="G29" s="258"/>
      <c r="H29" s="258"/>
      <c r="I29" s="244">
        <f t="shared" si="0"/>
        <v>0</v>
      </c>
      <c r="J29" s="244">
        <f t="shared" si="1"/>
        <v>0</v>
      </c>
      <c r="K29" s="244">
        <f t="shared" si="2"/>
      </c>
      <c r="L29" s="244">
        <f t="shared" si="3"/>
        <v>0</v>
      </c>
      <c r="M29" s="244">
        <f t="shared" si="4"/>
      </c>
      <c r="N29" s="244">
        <f t="shared" si="5"/>
      </c>
      <c r="O29" s="244">
        <f t="shared" si="6"/>
      </c>
    </row>
    <row r="30" spans="1:15" s="30" customFormat="1" ht="12.75" hidden="1">
      <c r="A30" s="255">
        <f t="shared" si="7"/>
        <v>19</v>
      </c>
      <c r="B30" s="256"/>
      <c r="C30" s="327"/>
      <c r="D30" s="257"/>
      <c r="E30" s="258"/>
      <c r="F30" s="258"/>
      <c r="G30" s="258"/>
      <c r="H30" s="258"/>
      <c r="I30" s="244">
        <f t="shared" si="0"/>
        <v>0</v>
      </c>
      <c r="J30" s="244">
        <f t="shared" si="1"/>
        <v>0</v>
      </c>
      <c r="K30" s="244">
        <f t="shared" si="2"/>
      </c>
      <c r="L30" s="244">
        <f t="shared" si="3"/>
        <v>0</v>
      </c>
      <c r="M30" s="244">
        <f t="shared" si="4"/>
      </c>
      <c r="N30" s="244">
        <f t="shared" si="5"/>
      </c>
      <c r="O30" s="244">
        <f t="shared" si="6"/>
      </c>
    </row>
    <row r="31" spans="1:15" s="30" customFormat="1" ht="12.75" hidden="1">
      <c r="A31" s="255">
        <f t="shared" si="7"/>
        <v>20</v>
      </c>
      <c r="B31" s="256"/>
      <c r="C31" s="327"/>
      <c r="D31" s="257"/>
      <c r="E31" s="258"/>
      <c r="F31" s="258"/>
      <c r="G31" s="258"/>
      <c r="H31" s="258"/>
      <c r="I31" s="244">
        <f t="shared" si="0"/>
        <v>0</v>
      </c>
      <c r="J31" s="244">
        <f t="shared" si="1"/>
        <v>0</v>
      </c>
      <c r="K31" s="244">
        <f t="shared" si="2"/>
      </c>
      <c r="L31" s="244">
        <f t="shared" si="3"/>
        <v>0</v>
      </c>
      <c r="M31" s="244">
        <f t="shared" si="4"/>
      </c>
      <c r="N31" s="244">
        <f t="shared" si="5"/>
      </c>
      <c r="O31" s="244">
        <f t="shared" si="6"/>
      </c>
    </row>
    <row r="32" spans="1:15" s="30" customFormat="1" ht="12.75" hidden="1">
      <c r="A32" s="255">
        <f t="shared" si="7"/>
        <v>21</v>
      </c>
      <c r="B32" s="256"/>
      <c r="C32" s="327"/>
      <c r="D32" s="257"/>
      <c r="E32" s="258"/>
      <c r="F32" s="258"/>
      <c r="G32" s="258"/>
      <c r="H32" s="258"/>
      <c r="I32" s="244">
        <f t="shared" si="0"/>
        <v>0</v>
      </c>
      <c r="J32" s="244">
        <f t="shared" si="1"/>
        <v>0</v>
      </c>
      <c r="K32" s="244">
        <f t="shared" si="2"/>
      </c>
      <c r="L32" s="244">
        <f t="shared" si="3"/>
        <v>0</v>
      </c>
      <c r="M32" s="244">
        <f t="shared" si="4"/>
      </c>
      <c r="N32" s="244">
        <f t="shared" si="5"/>
      </c>
      <c r="O32" s="244">
        <f t="shared" si="6"/>
      </c>
    </row>
    <row r="33" spans="1:15" s="30" customFormat="1" ht="12.75" hidden="1">
      <c r="A33" s="255">
        <f t="shared" si="7"/>
        <v>22</v>
      </c>
      <c r="B33" s="256"/>
      <c r="C33" s="327"/>
      <c r="D33" s="257"/>
      <c r="E33" s="258"/>
      <c r="F33" s="258"/>
      <c r="G33" s="258"/>
      <c r="H33" s="258"/>
      <c r="I33" s="244">
        <f t="shared" si="0"/>
        <v>0</v>
      </c>
      <c r="J33" s="244">
        <f t="shared" si="1"/>
        <v>0</v>
      </c>
      <c r="K33" s="244">
        <f t="shared" si="2"/>
      </c>
      <c r="L33" s="244">
        <f t="shared" si="3"/>
        <v>0</v>
      </c>
      <c r="M33" s="244">
        <f t="shared" si="4"/>
      </c>
      <c r="N33" s="244">
        <f t="shared" si="5"/>
      </c>
      <c r="O33" s="244">
        <f t="shared" si="6"/>
      </c>
    </row>
    <row r="34" spans="1:15" s="30" customFormat="1" ht="12.75" hidden="1">
      <c r="A34" s="255">
        <f t="shared" si="7"/>
        <v>23</v>
      </c>
      <c r="B34" s="256"/>
      <c r="C34" s="327"/>
      <c r="D34" s="257"/>
      <c r="E34" s="258"/>
      <c r="F34" s="258"/>
      <c r="G34" s="258"/>
      <c r="H34" s="258"/>
      <c r="I34" s="244">
        <f t="shared" si="0"/>
        <v>0</v>
      </c>
      <c r="J34" s="244">
        <f t="shared" si="1"/>
        <v>0</v>
      </c>
      <c r="K34" s="244">
        <f t="shared" si="2"/>
      </c>
      <c r="L34" s="244">
        <f t="shared" si="3"/>
        <v>0</v>
      </c>
      <c r="M34" s="244">
        <f t="shared" si="4"/>
      </c>
      <c r="N34" s="244">
        <f t="shared" si="5"/>
      </c>
      <c r="O34" s="244">
        <f t="shared" si="6"/>
      </c>
    </row>
    <row r="35" spans="1:15" s="30" customFormat="1" ht="12.75" hidden="1">
      <c r="A35" s="255">
        <f t="shared" si="7"/>
        <v>24</v>
      </c>
      <c r="B35" s="256"/>
      <c r="C35" s="327"/>
      <c r="D35" s="257"/>
      <c r="E35" s="258"/>
      <c r="F35" s="258"/>
      <c r="G35" s="258"/>
      <c r="H35" s="258"/>
      <c r="I35" s="244">
        <f t="shared" si="0"/>
        <v>0</v>
      </c>
      <c r="J35" s="244">
        <f t="shared" si="1"/>
        <v>0</v>
      </c>
      <c r="K35" s="244">
        <f t="shared" si="2"/>
      </c>
      <c r="L35" s="244">
        <f t="shared" si="3"/>
        <v>0</v>
      </c>
      <c r="M35" s="244">
        <f t="shared" si="4"/>
      </c>
      <c r="N35" s="244">
        <f t="shared" si="5"/>
      </c>
      <c r="O35" s="244">
        <f t="shared" si="6"/>
      </c>
    </row>
    <row r="36" spans="1:15" s="30" customFormat="1" ht="12.75" hidden="1">
      <c r="A36" s="255">
        <f t="shared" si="7"/>
        <v>25</v>
      </c>
      <c r="B36" s="256"/>
      <c r="C36" s="327"/>
      <c r="D36" s="257"/>
      <c r="E36" s="258"/>
      <c r="F36" s="258"/>
      <c r="G36" s="258"/>
      <c r="H36" s="258"/>
      <c r="I36" s="244">
        <f t="shared" si="0"/>
        <v>0</v>
      </c>
      <c r="J36" s="244">
        <f t="shared" si="1"/>
        <v>0</v>
      </c>
      <c r="K36" s="244">
        <f t="shared" si="2"/>
      </c>
      <c r="L36" s="244">
        <f t="shared" si="3"/>
        <v>0</v>
      </c>
      <c r="M36" s="244">
        <f t="shared" si="4"/>
      </c>
      <c r="N36" s="244">
        <f t="shared" si="5"/>
      </c>
      <c r="O36" s="244">
        <f t="shared" si="6"/>
      </c>
    </row>
    <row r="37" spans="1:15" s="30" customFormat="1" ht="12.75" hidden="1">
      <c r="A37" s="255">
        <f t="shared" si="7"/>
        <v>26</v>
      </c>
      <c r="B37" s="256"/>
      <c r="C37" s="327"/>
      <c r="D37" s="257"/>
      <c r="E37" s="258"/>
      <c r="F37" s="258"/>
      <c r="G37" s="258"/>
      <c r="H37" s="258"/>
      <c r="I37" s="244">
        <f t="shared" si="0"/>
        <v>0</v>
      </c>
      <c r="J37" s="244">
        <f t="shared" si="1"/>
        <v>0</v>
      </c>
      <c r="K37" s="244">
        <f t="shared" si="2"/>
      </c>
      <c r="L37" s="244">
        <f t="shared" si="3"/>
        <v>0</v>
      </c>
      <c r="M37" s="244">
        <f t="shared" si="4"/>
      </c>
      <c r="N37" s="244">
        <f t="shared" si="5"/>
      </c>
      <c r="O37" s="244">
        <f t="shared" si="6"/>
      </c>
    </row>
    <row r="38" spans="1:15" s="30" customFormat="1" ht="12.75" hidden="1">
      <c r="A38" s="255">
        <f t="shared" si="7"/>
        <v>27</v>
      </c>
      <c r="B38" s="256"/>
      <c r="C38" s="327"/>
      <c r="D38" s="257"/>
      <c r="E38" s="258"/>
      <c r="F38" s="258"/>
      <c r="G38" s="258"/>
      <c r="H38" s="258"/>
      <c r="I38" s="244">
        <f t="shared" si="0"/>
        <v>0</v>
      </c>
      <c r="J38" s="244">
        <f t="shared" si="1"/>
        <v>0</v>
      </c>
      <c r="K38" s="244">
        <f t="shared" si="2"/>
      </c>
      <c r="L38" s="244">
        <f t="shared" si="3"/>
        <v>0</v>
      </c>
      <c r="M38" s="244">
        <f t="shared" si="4"/>
      </c>
      <c r="N38" s="244">
        <f t="shared" si="5"/>
      </c>
      <c r="O38" s="244">
        <f t="shared" si="6"/>
      </c>
    </row>
    <row r="39" spans="1:15" s="30" customFormat="1" ht="12.75" hidden="1">
      <c r="A39" s="255">
        <f t="shared" si="7"/>
        <v>28</v>
      </c>
      <c r="B39" s="256"/>
      <c r="C39" s="327"/>
      <c r="D39" s="257"/>
      <c r="E39" s="258"/>
      <c r="F39" s="258"/>
      <c r="G39" s="258"/>
      <c r="H39" s="258"/>
      <c r="I39" s="244">
        <f t="shared" si="0"/>
        <v>0</v>
      </c>
      <c r="J39" s="244">
        <f t="shared" si="1"/>
        <v>0</v>
      </c>
      <c r="K39" s="244">
        <f t="shared" si="2"/>
      </c>
      <c r="L39" s="244">
        <f t="shared" si="3"/>
        <v>0</v>
      </c>
      <c r="M39" s="244">
        <f t="shared" si="4"/>
      </c>
      <c r="N39" s="244">
        <f t="shared" si="5"/>
      </c>
      <c r="O39" s="244">
        <f t="shared" si="6"/>
      </c>
    </row>
    <row r="40" spans="1:15" s="30" customFormat="1" ht="12.75" hidden="1">
      <c r="A40" s="255">
        <f t="shared" si="7"/>
        <v>29</v>
      </c>
      <c r="B40" s="256"/>
      <c r="C40" s="327"/>
      <c r="D40" s="257"/>
      <c r="E40" s="258"/>
      <c r="F40" s="258"/>
      <c r="G40" s="258"/>
      <c r="H40" s="258"/>
      <c r="I40" s="244">
        <f t="shared" si="0"/>
        <v>0</v>
      </c>
      <c r="J40" s="244">
        <f t="shared" si="1"/>
        <v>0</v>
      </c>
      <c r="K40" s="244">
        <f t="shared" si="2"/>
      </c>
      <c r="L40" s="244">
        <f t="shared" si="3"/>
        <v>0</v>
      </c>
      <c r="M40" s="244">
        <f t="shared" si="4"/>
      </c>
      <c r="N40" s="244">
        <f t="shared" si="5"/>
      </c>
      <c r="O40" s="244">
        <f t="shared" si="6"/>
      </c>
    </row>
    <row r="41" spans="1:15" s="30" customFormat="1" ht="12.75" hidden="1">
      <c r="A41" s="255">
        <f t="shared" si="7"/>
        <v>30</v>
      </c>
      <c r="B41" s="256"/>
      <c r="C41" s="327"/>
      <c r="D41" s="257"/>
      <c r="E41" s="258"/>
      <c r="F41" s="258"/>
      <c r="G41" s="258"/>
      <c r="H41" s="258"/>
      <c r="I41" s="244">
        <f t="shared" si="0"/>
        <v>0</v>
      </c>
      <c r="J41" s="244">
        <f t="shared" si="1"/>
        <v>0</v>
      </c>
      <c r="K41" s="244">
        <f t="shared" si="2"/>
      </c>
      <c r="L41" s="244">
        <f t="shared" si="3"/>
        <v>0</v>
      </c>
      <c r="M41" s="244">
        <f t="shared" si="4"/>
      </c>
      <c r="N41" s="244">
        <f t="shared" si="5"/>
      </c>
      <c r="O41" s="244">
        <f t="shared" si="6"/>
      </c>
    </row>
    <row r="42" spans="1:15" s="30" customFormat="1" ht="12.75" hidden="1">
      <c r="A42" s="255">
        <f t="shared" si="7"/>
        <v>31</v>
      </c>
      <c r="B42" s="256"/>
      <c r="C42" s="327"/>
      <c r="D42" s="257"/>
      <c r="E42" s="259"/>
      <c r="F42" s="259"/>
      <c r="G42" s="259"/>
      <c r="H42" s="259"/>
      <c r="I42" s="244">
        <f t="shared" si="0"/>
        <v>0</v>
      </c>
      <c r="J42" s="244">
        <f t="shared" si="1"/>
        <v>0</v>
      </c>
      <c r="K42" s="244">
        <f t="shared" si="2"/>
      </c>
      <c r="L42" s="244">
        <f t="shared" si="3"/>
        <v>0</v>
      </c>
      <c r="M42" s="244">
        <f t="shared" si="4"/>
      </c>
      <c r="N42" s="244">
        <f t="shared" si="5"/>
      </c>
      <c r="O42" s="244">
        <f t="shared" si="6"/>
      </c>
    </row>
    <row r="43" spans="1:15" s="30" customFormat="1" ht="12.75" hidden="1">
      <c r="A43" s="255">
        <f t="shared" si="7"/>
        <v>32</v>
      </c>
      <c r="B43" s="256"/>
      <c r="C43" s="327"/>
      <c r="D43" s="257"/>
      <c r="E43" s="258"/>
      <c r="F43" s="258"/>
      <c r="G43" s="258"/>
      <c r="H43" s="258"/>
      <c r="I43" s="244">
        <f t="shared" si="0"/>
        <v>0</v>
      </c>
      <c r="J43" s="244">
        <f t="shared" si="1"/>
        <v>0</v>
      </c>
      <c r="K43" s="244">
        <f t="shared" si="2"/>
      </c>
      <c r="L43" s="244">
        <f t="shared" si="3"/>
        <v>0</v>
      </c>
      <c r="M43" s="244">
        <f t="shared" si="4"/>
      </c>
      <c r="N43" s="244">
        <f t="shared" si="5"/>
      </c>
      <c r="O43" s="244">
        <f t="shared" si="6"/>
      </c>
    </row>
    <row r="44" spans="1:15" s="30" customFormat="1" ht="12.75" hidden="1">
      <c r="A44" s="255">
        <f t="shared" si="7"/>
        <v>33</v>
      </c>
      <c r="B44" s="256"/>
      <c r="C44" s="327"/>
      <c r="D44" s="257"/>
      <c r="E44" s="258"/>
      <c r="F44" s="258"/>
      <c r="G44" s="258"/>
      <c r="H44" s="258"/>
      <c r="I44" s="244">
        <f t="shared" si="0"/>
        <v>0</v>
      </c>
      <c r="J44" s="244">
        <f t="shared" si="1"/>
        <v>0</v>
      </c>
      <c r="K44" s="244">
        <f t="shared" si="2"/>
      </c>
      <c r="L44" s="244">
        <f t="shared" si="3"/>
        <v>0</v>
      </c>
      <c r="M44" s="244">
        <f t="shared" si="4"/>
      </c>
      <c r="N44" s="244">
        <f t="shared" si="5"/>
      </c>
      <c r="O44" s="244">
        <f t="shared" si="6"/>
      </c>
    </row>
    <row r="45" spans="1:15" s="30" customFormat="1" ht="12.75" hidden="1">
      <c r="A45" s="255">
        <f t="shared" si="7"/>
        <v>34</v>
      </c>
      <c r="B45" s="256"/>
      <c r="C45" s="327"/>
      <c r="D45" s="257"/>
      <c r="E45" s="258"/>
      <c r="F45" s="258"/>
      <c r="G45" s="258"/>
      <c r="H45" s="258"/>
      <c r="I45" s="244">
        <f t="shared" si="0"/>
        <v>0</v>
      </c>
      <c r="J45" s="244">
        <f t="shared" si="1"/>
        <v>0</v>
      </c>
      <c r="K45" s="244">
        <f t="shared" si="2"/>
      </c>
      <c r="L45" s="244">
        <f t="shared" si="3"/>
        <v>0</v>
      </c>
      <c r="M45" s="244">
        <f t="shared" si="4"/>
      </c>
      <c r="N45" s="244">
        <f t="shared" si="5"/>
      </c>
      <c r="O45" s="244">
        <f t="shared" si="6"/>
      </c>
    </row>
    <row r="46" spans="1:15" s="30" customFormat="1" ht="12.75" hidden="1">
      <c r="A46" s="255">
        <f t="shared" si="7"/>
        <v>35</v>
      </c>
      <c r="B46" s="256"/>
      <c r="C46" s="327"/>
      <c r="D46" s="257"/>
      <c r="E46" s="258"/>
      <c r="F46" s="258"/>
      <c r="G46" s="258"/>
      <c r="H46" s="258"/>
      <c r="I46" s="244">
        <f t="shared" si="0"/>
        <v>0</v>
      </c>
      <c r="J46" s="244">
        <f t="shared" si="1"/>
        <v>0</v>
      </c>
      <c r="K46" s="244">
        <f t="shared" si="2"/>
      </c>
      <c r="L46" s="244">
        <f t="shared" si="3"/>
        <v>0</v>
      </c>
      <c r="M46" s="244">
        <f t="shared" si="4"/>
      </c>
      <c r="N46" s="244">
        <f t="shared" si="5"/>
      </c>
      <c r="O46" s="244">
        <f t="shared" si="6"/>
      </c>
    </row>
    <row r="47" spans="1:15" s="30" customFormat="1" ht="12.75" hidden="1">
      <c r="A47" s="255">
        <f t="shared" si="7"/>
        <v>36</v>
      </c>
      <c r="B47" s="256"/>
      <c r="C47" s="327"/>
      <c r="D47" s="257"/>
      <c r="E47" s="258"/>
      <c r="F47" s="258"/>
      <c r="G47" s="258"/>
      <c r="H47" s="258"/>
      <c r="I47" s="244">
        <f t="shared" si="0"/>
        <v>0</v>
      </c>
      <c r="J47" s="244">
        <f t="shared" si="1"/>
        <v>0</v>
      </c>
      <c r="K47" s="244">
        <f t="shared" si="2"/>
      </c>
      <c r="L47" s="244">
        <f t="shared" si="3"/>
        <v>0</v>
      </c>
      <c r="M47" s="244">
        <f t="shared" si="4"/>
      </c>
      <c r="N47" s="244">
        <f t="shared" si="5"/>
      </c>
      <c r="O47" s="244">
        <f t="shared" si="6"/>
      </c>
    </row>
    <row r="48" spans="1:15" s="30" customFormat="1" ht="12.75" hidden="1">
      <c r="A48" s="255">
        <f t="shared" si="7"/>
        <v>37</v>
      </c>
      <c r="B48" s="256"/>
      <c r="C48" s="327"/>
      <c r="D48" s="257"/>
      <c r="E48" s="258"/>
      <c r="F48" s="258"/>
      <c r="G48" s="258"/>
      <c r="H48" s="258"/>
      <c r="I48" s="244">
        <f t="shared" si="0"/>
        <v>0</v>
      </c>
      <c r="J48" s="244">
        <f t="shared" si="1"/>
        <v>0</v>
      </c>
      <c r="K48" s="244">
        <f t="shared" si="2"/>
      </c>
      <c r="L48" s="244">
        <f t="shared" si="3"/>
        <v>0</v>
      </c>
      <c r="M48" s="244">
        <f t="shared" si="4"/>
      </c>
      <c r="N48" s="244">
        <f t="shared" si="5"/>
      </c>
      <c r="O48" s="244">
        <f t="shared" si="6"/>
      </c>
    </row>
    <row r="49" spans="1:15" s="30" customFormat="1" ht="12.75" hidden="1">
      <c r="A49" s="255">
        <f t="shared" si="7"/>
        <v>38</v>
      </c>
      <c r="B49" s="256"/>
      <c r="C49" s="327"/>
      <c r="D49" s="257"/>
      <c r="E49" s="259"/>
      <c r="F49" s="259"/>
      <c r="G49" s="259"/>
      <c r="H49" s="259"/>
      <c r="I49" s="244">
        <f t="shared" si="0"/>
        <v>0</v>
      </c>
      <c r="J49" s="244">
        <f t="shared" si="1"/>
        <v>0</v>
      </c>
      <c r="K49" s="244">
        <f t="shared" si="2"/>
      </c>
      <c r="L49" s="244">
        <f t="shared" si="3"/>
        <v>0</v>
      </c>
      <c r="M49" s="244">
        <f t="shared" si="4"/>
      </c>
      <c r="N49" s="244">
        <f t="shared" si="5"/>
      </c>
      <c r="O49" s="244">
        <f t="shared" si="6"/>
      </c>
    </row>
    <row r="50" spans="1:15" s="30" customFormat="1" ht="12.75" hidden="1">
      <c r="A50" s="255">
        <f t="shared" si="7"/>
        <v>39</v>
      </c>
      <c r="B50" s="256"/>
      <c r="C50" s="327"/>
      <c r="D50" s="257"/>
      <c r="E50" s="259"/>
      <c r="F50" s="259"/>
      <c r="G50" s="259"/>
      <c r="H50" s="259"/>
      <c r="I50" s="244">
        <f t="shared" si="0"/>
        <v>0</v>
      </c>
      <c r="J50" s="244">
        <f t="shared" si="1"/>
        <v>0</v>
      </c>
      <c r="K50" s="244">
        <f t="shared" si="2"/>
      </c>
      <c r="L50" s="244">
        <f t="shared" si="3"/>
        <v>0</v>
      </c>
      <c r="M50" s="244">
        <f t="shared" si="4"/>
      </c>
      <c r="N50" s="244">
        <f t="shared" si="5"/>
      </c>
      <c r="O50" s="244">
        <f t="shared" si="6"/>
      </c>
    </row>
    <row r="51" spans="1:15" s="30" customFormat="1" ht="12.75" hidden="1">
      <c r="A51" s="255">
        <f t="shared" si="7"/>
        <v>40</v>
      </c>
      <c r="B51" s="256"/>
      <c r="C51" s="327"/>
      <c r="D51" s="257"/>
      <c r="E51" s="258"/>
      <c r="F51" s="258"/>
      <c r="G51" s="258"/>
      <c r="H51" s="258"/>
      <c r="I51" s="244">
        <f t="shared" si="0"/>
        <v>0</v>
      </c>
      <c r="J51" s="244">
        <f t="shared" si="1"/>
        <v>0</v>
      </c>
      <c r="K51" s="244">
        <f t="shared" si="2"/>
      </c>
      <c r="L51" s="244">
        <f t="shared" si="3"/>
        <v>0</v>
      </c>
      <c r="M51" s="244">
        <f t="shared" si="4"/>
      </c>
      <c r="N51" s="244">
        <f t="shared" si="5"/>
      </c>
      <c r="O51" s="244">
        <f t="shared" si="6"/>
      </c>
    </row>
    <row r="52" spans="1:15" s="30" customFormat="1" ht="12.75" hidden="1">
      <c r="A52" s="255">
        <f t="shared" si="7"/>
        <v>41</v>
      </c>
      <c r="B52" s="256"/>
      <c r="C52" s="327"/>
      <c r="D52" s="257"/>
      <c r="E52" s="259"/>
      <c r="F52" s="259"/>
      <c r="G52" s="259"/>
      <c r="H52" s="259"/>
      <c r="I52" s="244">
        <f t="shared" si="0"/>
        <v>0</v>
      </c>
      <c r="J52" s="244">
        <f t="shared" si="1"/>
        <v>0</v>
      </c>
      <c r="K52" s="244">
        <f t="shared" si="2"/>
      </c>
      <c r="L52" s="244">
        <f t="shared" si="3"/>
        <v>0</v>
      </c>
      <c r="M52" s="244">
        <f t="shared" si="4"/>
      </c>
      <c r="N52" s="244">
        <f t="shared" si="5"/>
      </c>
      <c r="O52" s="244">
        <f t="shared" si="6"/>
      </c>
    </row>
    <row r="53" spans="1:15" s="30" customFormat="1" ht="12.75" hidden="1">
      <c r="A53" s="255">
        <f t="shared" si="7"/>
        <v>42</v>
      </c>
      <c r="B53" s="256"/>
      <c r="C53" s="327"/>
      <c r="D53" s="257"/>
      <c r="E53" s="259"/>
      <c r="F53" s="259"/>
      <c r="G53" s="259"/>
      <c r="H53" s="259"/>
      <c r="I53" s="244">
        <f t="shared" si="0"/>
        <v>0</v>
      </c>
      <c r="J53" s="244">
        <f t="shared" si="1"/>
        <v>0</v>
      </c>
      <c r="K53" s="244">
        <f t="shared" si="2"/>
      </c>
      <c r="L53" s="244">
        <f t="shared" si="3"/>
        <v>0</v>
      </c>
      <c r="M53" s="244">
        <f t="shared" si="4"/>
      </c>
      <c r="N53" s="244">
        <f t="shared" si="5"/>
      </c>
      <c r="O53" s="244">
        <f t="shared" si="6"/>
      </c>
    </row>
    <row r="54" spans="1:15" s="30" customFormat="1" ht="12.75" hidden="1">
      <c r="A54" s="255">
        <f t="shared" si="7"/>
        <v>43</v>
      </c>
      <c r="B54" s="256"/>
      <c r="C54" s="327"/>
      <c r="D54" s="257"/>
      <c r="E54" s="258"/>
      <c r="F54" s="258"/>
      <c r="G54" s="258"/>
      <c r="H54" s="258"/>
      <c r="I54" s="244">
        <f t="shared" si="0"/>
        <v>0</v>
      </c>
      <c r="J54" s="244">
        <f t="shared" si="1"/>
        <v>0</v>
      </c>
      <c r="K54" s="244">
        <f t="shared" si="2"/>
      </c>
      <c r="L54" s="244">
        <f t="shared" si="3"/>
        <v>0</v>
      </c>
      <c r="M54" s="244">
        <f t="shared" si="4"/>
      </c>
      <c r="N54" s="244">
        <f t="shared" si="5"/>
      </c>
      <c r="O54" s="244">
        <f t="shared" si="6"/>
      </c>
    </row>
    <row r="55" spans="1:15" s="30" customFormat="1" ht="12.75" hidden="1">
      <c r="A55" s="255">
        <f t="shared" si="7"/>
        <v>44</v>
      </c>
      <c r="B55" s="256"/>
      <c r="C55" s="327"/>
      <c r="D55" s="257"/>
      <c r="E55" s="258"/>
      <c r="F55" s="258"/>
      <c r="G55" s="258"/>
      <c r="H55" s="258"/>
      <c r="I55" s="244">
        <f t="shared" si="0"/>
        <v>0</v>
      </c>
      <c r="J55" s="244">
        <f t="shared" si="1"/>
        <v>0</v>
      </c>
      <c r="K55" s="244">
        <f t="shared" si="2"/>
      </c>
      <c r="L55" s="244">
        <f t="shared" si="3"/>
        <v>0</v>
      </c>
      <c r="M55" s="244">
        <f t="shared" si="4"/>
      </c>
      <c r="N55" s="244">
        <f t="shared" si="5"/>
      </c>
      <c r="O55" s="244">
        <f t="shared" si="6"/>
      </c>
    </row>
    <row r="56" spans="1:15" s="30" customFormat="1" ht="12.75" hidden="1">
      <c r="A56" s="255">
        <f t="shared" si="7"/>
        <v>45</v>
      </c>
      <c r="B56" s="256"/>
      <c r="C56" s="327"/>
      <c r="D56" s="257"/>
      <c r="E56" s="258"/>
      <c r="F56" s="258"/>
      <c r="G56" s="258"/>
      <c r="H56" s="258"/>
      <c r="I56" s="244">
        <f t="shared" si="0"/>
        <v>0</v>
      </c>
      <c r="J56" s="244">
        <f t="shared" si="1"/>
        <v>0</v>
      </c>
      <c r="K56" s="244">
        <f t="shared" si="2"/>
      </c>
      <c r="L56" s="244">
        <f t="shared" si="3"/>
        <v>0</v>
      </c>
      <c r="M56" s="244">
        <f t="shared" si="4"/>
      </c>
      <c r="N56" s="244">
        <f t="shared" si="5"/>
      </c>
      <c r="O56" s="244">
        <f t="shared" si="6"/>
      </c>
    </row>
    <row r="57" spans="1:15" s="30" customFormat="1" ht="12.75" hidden="1">
      <c r="A57" s="255">
        <f t="shared" si="7"/>
        <v>46</v>
      </c>
      <c r="B57" s="256"/>
      <c r="C57" s="327"/>
      <c r="D57" s="257"/>
      <c r="E57" s="258"/>
      <c r="F57" s="258"/>
      <c r="G57" s="258"/>
      <c r="H57" s="258"/>
      <c r="I57" s="244">
        <f t="shared" si="0"/>
        <v>0</v>
      </c>
      <c r="J57" s="244">
        <f t="shared" si="1"/>
        <v>0</v>
      </c>
      <c r="K57" s="244">
        <f t="shared" si="2"/>
      </c>
      <c r="L57" s="244">
        <f t="shared" si="3"/>
        <v>0</v>
      </c>
      <c r="M57" s="244">
        <f t="shared" si="4"/>
      </c>
      <c r="N57" s="244">
        <f t="shared" si="5"/>
      </c>
      <c r="O57" s="244">
        <f t="shared" si="6"/>
      </c>
    </row>
    <row r="58" spans="1:15" s="30" customFormat="1" ht="12.75" hidden="1">
      <c r="A58" s="255">
        <f t="shared" si="7"/>
        <v>47</v>
      </c>
      <c r="B58" s="256"/>
      <c r="C58" s="327"/>
      <c r="D58" s="257"/>
      <c r="E58" s="258"/>
      <c r="F58" s="258"/>
      <c r="G58" s="258"/>
      <c r="H58" s="258"/>
      <c r="I58" s="244">
        <f t="shared" si="0"/>
        <v>0</v>
      </c>
      <c r="J58" s="244">
        <f t="shared" si="1"/>
        <v>0</v>
      </c>
      <c r="K58" s="244">
        <f t="shared" si="2"/>
      </c>
      <c r="L58" s="244">
        <f t="shared" si="3"/>
        <v>0</v>
      </c>
      <c r="M58" s="244">
        <f t="shared" si="4"/>
      </c>
      <c r="N58" s="244">
        <f t="shared" si="5"/>
      </c>
      <c r="O58" s="244">
        <f t="shared" si="6"/>
      </c>
    </row>
    <row r="59" spans="1:15" s="31" customFormat="1" ht="12.75" hidden="1">
      <c r="A59" s="255">
        <f t="shared" si="7"/>
        <v>48</v>
      </c>
      <c r="B59" s="256"/>
      <c r="C59" s="327"/>
      <c r="D59" s="257"/>
      <c r="E59" s="258"/>
      <c r="F59" s="258"/>
      <c r="G59" s="258"/>
      <c r="H59" s="258"/>
      <c r="I59" s="244">
        <f t="shared" si="0"/>
        <v>0</v>
      </c>
      <c r="J59" s="244">
        <f t="shared" si="1"/>
        <v>0</v>
      </c>
      <c r="K59" s="244">
        <f t="shared" si="2"/>
      </c>
      <c r="L59" s="244">
        <f t="shared" si="3"/>
        <v>0</v>
      </c>
      <c r="M59" s="244">
        <f t="shared" si="4"/>
      </c>
      <c r="N59" s="244">
        <f t="shared" si="5"/>
      </c>
      <c r="O59" s="244">
        <f t="shared" si="6"/>
      </c>
    </row>
    <row r="60" spans="1:15" s="31" customFormat="1" ht="12.75" hidden="1">
      <c r="A60" s="255">
        <f t="shared" si="7"/>
        <v>49</v>
      </c>
      <c r="B60" s="256"/>
      <c r="C60" s="327"/>
      <c r="D60" s="257"/>
      <c r="E60" s="259"/>
      <c r="F60" s="259"/>
      <c r="G60" s="259"/>
      <c r="H60" s="259"/>
      <c r="I60" s="244">
        <f>LEN(B60)</f>
        <v>0</v>
      </c>
      <c r="J60" s="244">
        <f>IF((I60)=0,0,FIND(" ",B60))</f>
        <v>0</v>
      </c>
      <c r="K60" s="244">
        <f>IF(OR(ISERR(J60),I60=0),"",CONCATENATE(MID(B60,J60+1,1),"."))</f>
      </c>
      <c r="L60" s="244">
        <f>IF(LEN(B60)=0,0,FIND(" ",B60,J60+1))</f>
        <v>0</v>
      </c>
      <c r="M60" s="244">
        <f>IF(OR(I60=0,ISERR(L60)),"",CONCATENATE(MID(B60,L60+1,1),"."))</f>
      </c>
      <c r="N60" s="244">
        <f>IF(B60="","",IF(ISERR(J60),UPPER(B60),UPPER(MID(B60,1,J60-1))))</f>
      </c>
      <c r="O60" s="244">
        <f>CONCATENATE(K60,M60)</f>
      </c>
    </row>
    <row r="61" spans="1:15" s="31" customFormat="1" ht="12.75" hidden="1">
      <c r="A61" s="255">
        <f t="shared" si="7"/>
        <v>50</v>
      </c>
      <c r="B61" s="256"/>
      <c r="C61" s="327"/>
      <c r="D61" s="257"/>
      <c r="E61" s="258"/>
      <c r="F61" s="258"/>
      <c r="G61" s="258"/>
      <c r="H61" s="258"/>
      <c r="I61" s="244">
        <f>LEN(B61)</f>
        <v>0</v>
      </c>
      <c r="J61" s="244">
        <f>IF((I61)=0,0,FIND(" ",B61))</f>
        <v>0</v>
      </c>
      <c r="K61" s="244">
        <f>IF(OR(ISERR(J61),I61=0),"",CONCATENATE(MID(B61,J61+1,1),"."))</f>
      </c>
      <c r="L61" s="244">
        <f>IF(LEN(B61)=0,0,FIND(" ",B61,J61+1))</f>
        <v>0</v>
      </c>
      <c r="M61" s="244">
        <f>IF(OR(I61=0,ISERR(L61)),"",CONCATENATE(MID(B61,L61+1,1),"."))</f>
      </c>
      <c r="N61" s="244">
        <f>IF(B61="","",IF(ISERR(J61),UPPER(B61),UPPER(MID(B61,1,J61-1))))</f>
      </c>
      <c r="O61" s="244">
        <f>CONCATENATE(K61,M61)</f>
      </c>
    </row>
    <row r="62" spans="1:15" s="31" customFormat="1" ht="12.75" hidden="1">
      <c r="A62" s="255">
        <f t="shared" si="7"/>
        <v>51</v>
      </c>
      <c r="B62" s="256"/>
      <c r="C62" s="327"/>
      <c r="D62" s="257"/>
      <c r="E62" s="258"/>
      <c r="F62" s="258"/>
      <c r="G62" s="258"/>
      <c r="H62" s="258"/>
      <c r="I62" s="244">
        <f>LEN(B62)</f>
        <v>0</v>
      </c>
      <c r="J62" s="244">
        <f>IF((I62)=0,0,FIND(" ",B62))</f>
        <v>0</v>
      </c>
      <c r="K62" s="244">
        <f>IF(OR(ISERR(J62),I62=0),"",CONCATENATE(MID(B62,J62+1,1),"."))</f>
      </c>
      <c r="L62" s="244">
        <f>IF(LEN(B62)=0,0,FIND(" ",B62,J62+1))</f>
        <v>0</v>
      </c>
      <c r="M62" s="244">
        <f>IF(OR(I62=0,ISERR(L62)),"",CONCATENATE(MID(B62,L62+1,1),"."))</f>
      </c>
      <c r="N62" s="244">
        <f>IF(B62="","",IF(ISERR(J62),UPPER(B62),UPPER(MID(B62,1,J62-1))))</f>
      </c>
      <c r="O62" s="244">
        <f>CONCATENATE(K62,M62)</f>
      </c>
    </row>
    <row r="63" spans="1:15" s="31" customFormat="1" ht="12.75" hidden="1">
      <c r="A63" s="255">
        <f t="shared" si="7"/>
        <v>52</v>
      </c>
      <c r="B63" s="256"/>
      <c r="C63" s="327"/>
      <c r="D63" s="257"/>
      <c r="E63" s="258"/>
      <c r="F63" s="258"/>
      <c r="G63" s="258"/>
      <c r="H63" s="258"/>
      <c r="I63" s="244">
        <f>LEN(B63)</f>
        <v>0</v>
      </c>
      <c r="J63" s="244">
        <f>IF((I63)=0,0,FIND(" ",B63))</f>
        <v>0</v>
      </c>
      <c r="K63" s="244">
        <f>IF(OR(ISERR(J63),I63=0),"",CONCATENATE(MID(B63,J63+1,1),"."))</f>
      </c>
      <c r="L63" s="244">
        <f>IF(LEN(B63)=0,0,FIND(" ",B63,J63+1))</f>
        <v>0</v>
      </c>
      <c r="M63" s="244">
        <f>IF(OR(I63=0,ISERR(L63)),"",CONCATENATE(MID(B63,L63+1,1),"."))</f>
      </c>
      <c r="N63" s="244">
        <f>IF(B63="","",IF(ISERR(J63),UPPER(B63),UPPER(MID(B63,1,J63-1))))</f>
      </c>
      <c r="O63" s="244">
        <f>CONCATENATE(K63,M63)</f>
      </c>
    </row>
    <row r="64" spans="1:15" s="31" customFormat="1" ht="12.75" hidden="1">
      <c r="A64" s="255">
        <f t="shared" si="7"/>
        <v>53</v>
      </c>
      <c r="B64" s="256"/>
      <c r="C64" s="327"/>
      <c r="D64" s="257"/>
      <c r="E64" s="258"/>
      <c r="F64" s="258"/>
      <c r="G64" s="258"/>
      <c r="H64" s="258"/>
      <c r="I64" s="244">
        <f t="shared" si="0"/>
        <v>0</v>
      </c>
      <c r="J64" s="244">
        <f t="shared" si="1"/>
        <v>0</v>
      </c>
      <c r="K64" s="244">
        <f t="shared" si="2"/>
      </c>
      <c r="L64" s="244">
        <f t="shared" si="3"/>
        <v>0</v>
      </c>
      <c r="M64" s="244">
        <f t="shared" si="4"/>
      </c>
      <c r="N64" s="244">
        <f t="shared" si="5"/>
      </c>
      <c r="O64" s="244">
        <f t="shared" si="6"/>
      </c>
    </row>
    <row r="65" spans="1:15" s="31" customFormat="1" ht="12.75" hidden="1">
      <c r="A65" s="255">
        <f t="shared" si="7"/>
        <v>54</v>
      </c>
      <c r="B65" s="256"/>
      <c r="C65" s="327"/>
      <c r="D65" s="257"/>
      <c r="E65" s="258"/>
      <c r="F65" s="258"/>
      <c r="G65" s="258"/>
      <c r="H65" s="258"/>
      <c r="I65" s="244">
        <f t="shared" si="0"/>
        <v>0</v>
      </c>
      <c r="J65" s="244">
        <f t="shared" si="1"/>
        <v>0</v>
      </c>
      <c r="K65" s="244">
        <f t="shared" si="2"/>
      </c>
      <c r="L65" s="244">
        <f t="shared" si="3"/>
        <v>0</v>
      </c>
      <c r="M65" s="244">
        <f t="shared" si="4"/>
      </c>
      <c r="N65" s="244">
        <f t="shared" si="5"/>
      </c>
      <c r="O65" s="244">
        <f t="shared" si="6"/>
      </c>
    </row>
    <row r="66" spans="1:15" s="31" customFormat="1" ht="12.75" hidden="1">
      <c r="A66" s="255">
        <f t="shared" si="7"/>
        <v>55</v>
      </c>
      <c r="B66" s="256"/>
      <c r="C66" s="327"/>
      <c r="D66" s="257"/>
      <c r="E66" s="259"/>
      <c r="F66" s="259"/>
      <c r="G66" s="259"/>
      <c r="H66" s="259"/>
      <c r="I66" s="244">
        <f t="shared" si="0"/>
        <v>0</v>
      </c>
      <c r="J66" s="244">
        <f t="shared" si="1"/>
        <v>0</v>
      </c>
      <c r="K66" s="244">
        <f t="shared" si="2"/>
      </c>
      <c r="L66" s="244">
        <f t="shared" si="3"/>
        <v>0</v>
      </c>
      <c r="M66" s="244">
        <f t="shared" si="4"/>
      </c>
      <c r="N66" s="244">
        <f t="shared" si="5"/>
      </c>
      <c r="O66" s="244">
        <f t="shared" si="6"/>
      </c>
    </row>
    <row r="67" spans="1:15" s="31" customFormat="1" ht="12.75" hidden="1">
      <c r="A67" s="255">
        <f t="shared" si="7"/>
        <v>56</v>
      </c>
      <c r="B67" s="256"/>
      <c r="C67" s="327"/>
      <c r="D67" s="257"/>
      <c r="E67" s="258"/>
      <c r="F67" s="258"/>
      <c r="G67" s="258"/>
      <c r="H67" s="258"/>
      <c r="I67" s="244">
        <f t="shared" si="0"/>
        <v>0</v>
      </c>
      <c r="J67" s="244">
        <f t="shared" si="1"/>
        <v>0</v>
      </c>
      <c r="K67" s="244">
        <f t="shared" si="2"/>
      </c>
      <c r="L67" s="244">
        <f t="shared" si="3"/>
        <v>0</v>
      </c>
      <c r="M67" s="244">
        <f t="shared" si="4"/>
      </c>
      <c r="N67" s="244">
        <f t="shared" si="5"/>
      </c>
      <c r="O67" s="244">
        <f t="shared" si="6"/>
      </c>
    </row>
    <row r="68" spans="1:15" s="31" customFormat="1" ht="12.75" hidden="1">
      <c r="A68" s="255">
        <f t="shared" si="7"/>
        <v>57</v>
      </c>
      <c r="B68" s="256"/>
      <c r="C68" s="327"/>
      <c r="D68" s="257"/>
      <c r="E68" s="258"/>
      <c r="F68" s="258"/>
      <c r="G68" s="258"/>
      <c r="H68" s="258"/>
      <c r="I68" s="244">
        <f t="shared" si="0"/>
        <v>0</v>
      </c>
      <c r="J68" s="244">
        <f t="shared" si="1"/>
        <v>0</v>
      </c>
      <c r="K68" s="244">
        <f t="shared" si="2"/>
      </c>
      <c r="L68" s="244">
        <f t="shared" si="3"/>
        <v>0</v>
      </c>
      <c r="M68" s="244">
        <f t="shared" si="4"/>
      </c>
      <c r="N68" s="244">
        <f t="shared" si="5"/>
      </c>
      <c r="O68" s="244">
        <f t="shared" si="6"/>
      </c>
    </row>
    <row r="69" spans="1:15" s="31" customFormat="1" ht="12.75" hidden="1">
      <c r="A69" s="255">
        <f t="shared" si="7"/>
        <v>58</v>
      </c>
      <c r="B69" s="256"/>
      <c r="C69" s="327"/>
      <c r="D69" s="257"/>
      <c r="E69" s="258"/>
      <c r="F69" s="258"/>
      <c r="G69" s="258"/>
      <c r="H69" s="258"/>
      <c r="I69" s="244">
        <f t="shared" si="0"/>
        <v>0</v>
      </c>
      <c r="J69" s="244">
        <f t="shared" si="1"/>
        <v>0</v>
      </c>
      <c r="K69" s="244">
        <f t="shared" si="2"/>
      </c>
      <c r="L69" s="244">
        <f t="shared" si="3"/>
        <v>0</v>
      </c>
      <c r="M69" s="244">
        <f t="shared" si="4"/>
      </c>
      <c r="N69" s="244">
        <f t="shared" si="5"/>
      </c>
      <c r="O69" s="244">
        <f t="shared" si="6"/>
      </c>
    </row>
    <row r="70" spans="1:15" s="31" customFormat="1" ht="12.75" hidden="1">
      <c r="A70" s="255">
        <f t="shared" si="7"/>
        <v>59</v>
      </c>
      <c r="B70" s="256"/>
      <c r="C70" s="327"/>
      <c r="D70" s="257"/>
      <c r="E70" s="259"/>
      <c r="F70" s="259"/>
      <c r="G70" s="259"/>
      <c r="H70" s="259"/>
      <c r="I70" s="244">
        <f t="shared" si="0"/>
        <v>0</v>
      </c>
      <c r="J70" s="244">
        <f t="shared" si="1"/>
        <v>0</v>
      </c>
      <c r="K70" s="244">
        <f t="shared" si="2"/>
      </c>
      <c r="L70" s="244">
        <f t="shared" si="3"/>
        <v>0</v>
      </c>
      <c r="M70" s="244">
        <f t="shared" si="4"/>
      </c>
      <c r="N70" s="244">
        <f t="shared" si="5"/>
      </c>
      <c r="O70" s="244">
        <f t="shared" si="6"/>
      </c>
    </row>
    <row r="71" spans="1:8" ht="23.25" customHeight="1">
      <c r="A71" s="32"/>
      <c r="B71" s="32"/>
      <c r="C71" s="33"/>
      <c r="D71" s="34"/>
      <c r="E71" s="34"/>
      <c r="F71" s="34"/>
      <c r="G71" s="34"/>
      <c r="H71" s="34"/>
    </row>
    <row r="72" spans="1:8" ht="12.75" customHeight="1">
      <c r="A72" s="3" t="s">
        <v>19</v>
      </c>
      <c r="B72" s="3"/>
      <c r="C72" s="41"/>
      <c r="D72" s="769" t="str">
        <f>UPPER(Установка!C11)</f>
        <v>ГОРШЕНИН Э.А.</v>
      </c>
      <c r="E72" s="769"/>
      <c r="F72" s="8"/>
      <c r="G72" s="7"/>
      <c r="H72"/>
    </row>
    <row r="73" spans="1:8" ht="12.75" customHeight="1">
      <c r="A73" s="10"/>
      <c r="B73" s="10"/>
      <c r="C73" s="39" t="s">
        <v>41</v>
      </c>
      <c r="D73" s="768" t="s">
        <v>42</v>
      </c>
      <c r="E73" s="768"/>
      <c r="F73" s="40"/>
      <c r="G73" s="7"/>
      <c r="H73"/>
    </row>
    <row r="74" spans="1:8" ht="12.75" customHeight="1">
      <c r="A74" s="3" t="s">
        <v>20</v>
      </c>
      <c r="B74" s="3"/>
      <c r="C74" s="41"/>
      <c r="D74" s="769" t="str">
        <f>UPPER(Установка!C12)</f>
        <v>СУРЧЕНКО А.А.</v>
      </c>
      <c r="E74" s="769"/>
      <c r="F74" s="8"/>
      <c r="G74" s="7"/>
      <c r="H74"/>
    </row>
    <row r="75" spans="1:8" ht="12.75" customHeight="1">
      <c r="A75" s="10"/>
      <c r="B75" s="10"/>
      <c r="C75" s="39" t="s">
        <v>41</v>
      </c>
      <c r="D75" s="768" t="s">
        <v>42</v>
      </c>
      <c r="E75" s="768"/>
      <c r="F75" s="40"/>
      <c r="G75" s="7"/>
      <c r="H75"/>
    </row>
    <row r="76" spans="1:8" ht="12.75" customHeight="1" hidden="1">
      <c r="A76" s="1"/>
      <c r="B76" s="1"/>
      <c r="C76" s="1"/>
      <c r="D76" s="2"/>
      <c r="E76" s="2"/>
      <c r="F76" s="2"/>
      <c r="G76" s="2"/>
      <c r="H76" s="2"/>
    </row>
    <row r="77" spans="1:8" s="35" customFormat="1" ht="25.5" customHeight="1" hidden="1">
      <c r="A77" s="767" t="s">
        <v>40</v>
      </c>
      <c r="B77" s="767"/>
      <c r="C77" s="767"/>
      <c r="D77" s="767"/>
      <c r="E77" s="767"/>
      <c r="F77" s="767"/>
      <c r="G77" s="767"/>
      <c r="H77" s="767"/>
    </row>
    <row r="78" spans="1:8" s="35" customFormat="1" ht="24" customHeight="1" hidden="1">
      <c r="A78" s="767" t="s">
        <v>37</v>
      </c>
      <c r="B78" s="767"/>
      <c r="C78" s="767"/>
      <c r="D78" s="767"/>
      <c r="E78" s="767"/>
      <c r="F78" s="767"/>
      <c r="G78" s="767"/>
      <c r="H78" s="767"/>
    </row>
    <row r="80" spans="1:2" ht="12.75">
      <c r="A80" s="36"/>
      <c r="B80" s="36"/>
    </row>
    <row r="81" spans="1:6" ht="12.75">
      <c r="A81" s="36"/>
      <c r="B81" s="36"/>
      <c r="F81" s="34"/>
    </row>
    <row r="82" spans="1:6" ht="12.75">
      <c r="A82" s="36"/>
      <c r="B82" s="36"/>
      <c r="F82" s="34"/>
    </row>
    <row r="83" spans="1:6" ht="12.75">
      <c r="A83" s="36"/>
      <c r="B83" s="36"/>
      <c r="F83" s="34"/>
    </row>
    <row r="84" spans="1:6" ht="12.75">
      <c r="A84" s="36"/>
      <c r="B84" s="36"/>
      <c r="F84" s="34"/>
    </row>
    <row r="85" spans="1:6" ht="12.75">
      <c r="A85" s="36"/>
      <c r="B85" s="36"/>
      <c r="F85" s="34"/>
    </row>
    <row r="86" spans="1:8" s="188" customFormat="1" ht="12.75" hidden="1">
      <c r="A86" s="311"/>
      <c r="B86" s="311">
        <f>64-COUNTIF(B12:B70,"")</f>
        <v>16</v>
      </c>
      <c r="D86" s="312"/>
      <c r="E86" s="312"/>
      <c r="F86" s="313"/>
      <c r="G86" s="312"/>
      <c r="H86" s="312"/>
    </row>
    <row r="87" spans="1:6" ht="12.75">
      <c r="A87" s="36"/>
      <c r="B87" s="36"/>
      <c r="F87" s="34"/>
    </row>
    <row r="88" spans="1:6" ht="12.75">
      <c r="A88" s="36"/>
      <c r="B88" s="36"/>
      <c r="F88" s="34"/>
    </row>
    <row r="89" spans="1:6" ht="12.75">
      <c r="A89" s="36"/>
      <c r="B89" s="36"/>
      <c r="F89" s="34"/>
    </row>
    <row r="91" spans="1:6" ht="12.75">
      <c r="A91" s="36"/>
      <c r="B91" s="36"/>
      <c r="F91" s="34"/>
    </row>
    <row r="92" spans="1:6" ht="12.75">
      <c r="A92" s="36"/>
      <c r="B92" s="36"/>
      <c r="F92" s="34"/>
    </row>
    <row r="93" spans="1:6" ht="12.75">
      <c r="A93" s="36"/>
      <c r="B93" s="36"/>
      <c r="F93" s="34"/>
    </row>
    <row r="94" spans="1:6" ht="12.75">
      <c r="A94" s="36"/>
      <c r="B94" s="36"/>
      <c r="F94" s="34"/>
    </row>
    <row r="95" spans="1:6" ht="12.75">
      <c r="A95" s="36"/>
      <c r="B95" s="36"/>
      <c r="F95" s="34"/>
    </row>
    <row r="96" spans="1:6" ht="12.75">
      <c r="A96" s="36"/>
      <c r="B96" s="36"/>
      <c r="F96" s="34"/>
    </row>
    <row r="97" spans="1:6" ht="12.75">
      <c r="A97" s="36"/>
      <c r="B97" s="36"/>
      <c r="F97" s="34"/>
    </row>
    <row r="98" spans="1:6" ht="12.75">
      <c r="A98" s="36"/>
      <c r="B98" s="36"/>
      <c r="F98" s="34"/>
    </row>
    <row r="99" spans="1:6" ht="12.75">
      <c r="A99" s="36"/>
      <c r="B99" s="36"/>
      <c r="F99" s="34"/>
    </row>
    <row r="100" spans="1:6" ht="12.75">
      <c r="A100" s="36"/>
      <c r="B100" s="36"/>
      <c r="F100" s="34"/>
    </row>
    <row r="101" spans="1:6" ht="12.75">
      <c r="A101" s="36"/>
      <c r="B101" s="36"/>
      <c r="F101" s="34"/>
    </row>
    <row r="102" spans="1:6" ht="12.75">
      <c r="A102" s="36"/>
      <c r="B102" s="36"/>
      <c r="F102" s="34"/>
    </row>
    <row r="103" spans="1:6" ht="12.75">
      <c r="A103" s="36"/>
      <c r="B103" s="36"/>
      <c r="F103" s="34"/>
    </row>
    <row r="104" spans="1:6" ht="12.75">
      <c r="A104" s="36"/>
      <c r="B104" s="36"/>
      <c r="F104" s="34"/>
    </row>
    <row r="105" spans="1:6" ht="12.75">
      <c r="A105" s="36"/>
      <c r="B105" s="36"/>
      <c r="F105" s="34"/>
    </row>
    <row r="106" spans="1:6" ht="12.75">
      <c r="A106" s="36"/>
      <c r="B106" s="36"/>
      <c r="F106" s="34"/>
    </row>
    <row r="107" spans="1:6" ht="12.75">
      <c r="A107" s="36"/>
      <c r="B107" s="36"/>
      <c r="F107" s="34"/>
    </row>
    <row r="108" spans="1:6" ht="12.75">
      <c r="A108" s="36"/>
      <c r="B108" s="36"/>
      <c r="F108" s="34"/>
    </row>
    <row r="109" spans="1:6" ht="12.75">
      <c r="A109" s="36"/>
      <c r="B109" s="36"/>
      <c r="F109" s="34"/>
    </row>
    <row r="110" spans="1:6" ht="12.75">
      <c r="A110" s="36"/>
      <c r="B110" s="36"/>
      <c r="F110" s="34"/>
    </row>
    <row r="111" spans="1:6" ht="12.75">
      <c r="A111" s="36"/>
      <c r="B111" s="36"/>
      <c r="F111" s="34"/>
    </row>
    <row r="112" spans="1:6" ht="12.75">
      <c r="A112" s="36"/>
      <c r="B112" s="36"/>
      <c r="F112" s="34"/>
    </row>
    <row r="113" spans="1:6" ht="12.75">
      <c r="A113" s="36"/>
      <c r="B113" s="36"/>
      <c r="F113" s="34"/>
    </row>
    <row r="114" spans="1:6" ht="12.75">
      <c r="A114" s="36"/>
      <c r="B114" s="36"/>
      <c r="F114" s="34"/>
    </row>
    <row r="115" spans="1:6" ht="12.75">
      <c r="A115" s="36"/>
      <c r="B115" s="36"/>
      <c r="F115" s="34"/>
    </row>
    <row r="116" spans="1:6" ht="12.75">
      <c r="A116" s="36"/>
      <c r="B116" s="36"/>
      <c r="F116" s="34"/>
    </row>
    <row r="117" spans="1:6" ht="12.75">
      <c r="A117" s="36"/>
      <c r="B117" s="36"/>
      <c r="F117" s="34"/>
    </row>
    <row r="118" spans="1:6" ht="12.75">
      <c r="A118" s="36"/>
      <c r="B118" s="36"/>
      <c r="F118" s="34"/>
    </row>
    <row r="119" spans="1:6" ht="12.75">
      <c r="A119" s="36"/>
      <c r="B119" s="36"/>
      <c r="F119" s="34"/>
    </row>
    <row r="120" spans="1:6" ht="12.75">
      <c r="A120" s="36"/>
      <c r="B120" s="36"/>
      <c r="F120" s="34"/>
    </row>
    <row r="121" spans="1:6" ht="12.75">
      <c r="A121" s="36"/>
      <c r="B121" s="36"/>
      <c r="F121" s="34"/>
    </row>
    <row r="122" spans="1:6" ht="12.75">
      <c r="A122" s="36"/>
      <c r="B122" s="36"/>
      <c r="F122" s="34"/>
    </row>
    <row r="123" spans="1:6" ht="12.75">
      <c r="A123" s="36"/>
      <c r="B123" s="36"/>
      <c r="F123" s="34"/>
    </row>
    <row r="124" spans="1:6" ht="12.75">
      <c r="A124" s="36"/>
      <c r="B124" s="36"/>
      <c r="F124" s="34"/>
    </row>
    <row r="125" spans="1:6" ht="12.75">
      <c r="A125" s="36"/>
      <c r="B125" s="36"/>
      <c r="F125" s="34"/>
    </row>
    <row r="126" spans="1:6" ht="12.75">
      <c r="A126" s="36"/>
      <c r="B126" s="36"/>
      <c r="F126" s="34"/>
    </row>
    <row r="127" spans="1:6" ht="12.75">
      <c r="A127" s="36"/>
      <c r="B127" s="36"/>
      <c r="F127" s="34"/>
    </row>
    <row r="128" spans="1:6" ht="12.75">
      <c r="A128" s="36"/>
      <c r="B128" s="36"/>
      <c r="F128" s="34"/>
    </row>
    <row r="129" spans="1:6" ht="12.75">
      <c r="A129" s="36"/>
      <c r="B129" s="36"/>
      <c r="F129" s="34"/>
    </row>
    <row r="130" spans="1:6" ht="12.75">
      <c r="A130" s="36"/>
      <c r="B130" s="36"/>
      <c r="F130" s="34"/>
    </row>
    <row r="131" spans="1:6" ht="12.75">
      <c r="A131" s="36"/>
      <c r="B131" s="36"/>
      <c r="F131" s="34"/>
    </row>
    <row r="132" spans="1:6" ht="12.75">
      <c r="A132" s="36"/>
      <c r="B132" s="36"/>
      <c r="F132" s="34"/>
    </row>
    <row r="133" spans="1:6" ht="12.75">
      <c r="A133" s="36"/>
      <c r="B133" s="36"/>
      <c r="F133" s="34"/>
    </row>
    <row r="134" spans="1:6" ht="12.75">
      <c r="A134" s="36"/>
      <c r="B134" s="36"/>
      <c r="F134" s="34"/>
    </row>
    <row r="135" spans="1:6" ht="12.75">
      <c r="A135" s="36"/>
      <c r="B135" s="36"/>
      <c r="F135" s="34"/>
    </row>
    <row r="136" spans="1:6" ht="12.75">
      <c r="A136" s="36"/>
      <c r="B136" s="36"/>
      <c r="F136" s="34"/>
    </row>
    <row r="137" spans="1:6" ht="12.75">
      <c r="A137" s="36"/>
      <c r="B137" s="36"/>
      <c r="F137" s="34"/>
    </row>
    <row r="138" spans="1:6" ht="12.75">
      <c r="A138" s="36"/>
      <c r="B138" s="36"/>
      <c r="F138" s="34"/>
    </row>
    <row r="139" spans="1:6" ht="12.75">
      <c r="A139" s="36"/>
      <c r="B139" s="36"/>
      <c r="F139" s="34"/>
    </row>
    <row r="140" spans="1:6" ht="12.75">
      <c r="A140" s="36"/>
      <c r="B140" s="36"/>
      <c r="F140" s="34"/>
    </row>
    <row r="141" spans="1:6" ht="12.75">
      <c r="A141" s="36"/>
      <c r="B141" s="36"/>
      <c r="F141" s="34"/>
    </row>
    <row r="142" spans="1:6" ht="12.75">
      <c r="A142" s="36"/>
      <c r="B142" s="36"/>
      <c r="F142" s="34"/>
    </row>
    <row r="143" spans="1:6" ht="12.75">
      <c r="A143" s="36"/>
      <c r="B143" s="36"/>
      <c r="F143" s="34"/>
    </row>
    <row r="144" spans="1:6" ht="12.75">
      <c r="A144" s="36"/>
      <c r="B144" s="36"/>
      <c r="F144" s="34"/>
    </row>
    <row r="145" spans="1:6" ht="12.75">
      <c r="A145" s="36"/>
      <c r="B145" s="36"/>
      <c r="F145" s="34"/>
    </row>
    <row r="146" spans="1:6" ht="12.75">
      <c r="A146" s="36"/>
      <c r="B146" s="36"/>
      <c r="F146" s="34"/>
    </row>
    <row r="147" spans="1:6" ht="12.75">
      <c r="A147" s="36"/>
      <c r="B147" s="36"/>
      <c r="F147" s="34"/>
    </row>
    <row r="148" spans="1:6" ht="12.75">
      <c r="A148" s="36"/>
      <c r="B148" s="36"/>
      <c r="F148" s="34"/>
    </row>
    <row r="149" spans="1:6" ht="12.75">
      <c r="A149" s="36"/>
      <c r="B149" s="36"/>
      <c r="F149" s="34"/>
    </row>
    <row r="150" spans="1:6" ht="12.75">
      <c r="A150" s="36"/>
      <c r="B150" s="36"/>
      <c r="F150" s="34"/>
    </row>
    <row r="151" spans="1:6" ht="12.75">
      <c r="A151" s="36"/>
      <c r="B151" s="36"/>
      <c r="F151" s="34"/>
    </row>
    <row r="152" spans="1:6" ht="12.75">
      <c r="A152" s="36"/>
      <c r="B152" s="36"/>
      <c r="F152" s="34"/>
    </row>
    <row r="153" spans="1:6" ht="12.75">
      <c r="A153" s="36"/>
      <c r="B153" s="36"/>
      <c r="F153" s="34"/>
    </row>
    <row r="154" spans="1:6" ht="12.75">
      <c r="A154" s="36"/>
      <c r="B154" s="36"/>
      <c r="F154" s="34"/>
    </row>
    <row r="155" spans="1:6" ht="12.75">
      <c r="A155" s="36"/>
      <c r="B155" s="36"/>
      <c r="F155" s="34"/>
    </row>
    <row r="156" spans="1:6" ht="12.75">
      <c r="A156" s="36"/>
      <c r="B156" s="36"/>
      <c r="F156" s="34"/>
    </row>
    <row r="157" spans="1:6" ht="12.75">
      <c r="A157" s="36"/>
      <c r="B157" s="36"/>
      <c r="F157" s="34"/>
    </row>
    <row r="158" spans="1:6" ht="12.75">
      <c r="A158" s="36"/>
      <c r="B158" s="36"/>
      <c r="F158" s="34"/>
    </row>
    <row r="159" spans="1:6" ht="12.75">
      <c r="A159" s="36"/>
      <c r="B159" s="36"/>
      <c r="F159" s="34"/>
    </row>
    <row r="160" spans="1:6" ht="12.75">
      <c r="A160" s="36"/>
      <c r="B160" s="36"/>
      <c r="F160" s="34"/>
    </row>
    <row r="161" spans="1:6" ht="12.75">
      <c r="A161" s="36"/>
      <c r="B161" s="36"/>
      <c r="F161" s="34"/>
    </row>
    <row r="162" spans="1:6" ht="12.75">
      <c r="A162" s="36"/>
      <c r="B162" s="36"/>
      <c r="F162" s="34"/>
    </row>
    <row r="163" spans="1:6" ht="12.75">
      <c r="A163" s="36"/>
      <c r="B163" s="36"/>
      <c r="F163" s="34"/>
    </row>
    <row r="164" spans="1:6" ht="12.75">
      <c r="A164" s="36"/>
      <c r="B164" s="36"/>
      <c r="F164" s="34"/>
    </row>
    <row r="165" spans="1:6" ht="12.75">
      <c r="A165" s="36"/>
      <c r="B165" s="36"/>
      <c r="F165" s="34"/>
    </row>
    <row r="166" spans="1:6" ht="12.75">
      <c r="A166" s="36"/>
      <c r="B166" s="36"/>
      <c r="F166" s="34"/>
    </row>
    <row r="167" spans="1:6" ht="12.75">
      <c r="A167" s="36"/>
      <c r="B167" s="36"/>
      <c r="F167" s="34"/>
    </row>
    <row r="168" spans="1:6" ht="12.75">
      <c r="A168" s="36"/>
      <c r="B168" s="36"/>
      <c r="F168" s="34"/>
    </row>
    <row r="169" spans="1:6" ht="12.75">
      <c r="A169" s="36"/>
      <c r="B169" s="36"/>
      <c r="F169" s="34"/>
    </row>
    <row r="170" spans="1:6" ht="12.75">
      <c r="A170" s="33"/>
      <c r="B170" s="33"/>
      <c r="F170" s="34"/>
    </row>
    <row r="171" spans="1:6" ht="12.75">
      <c r="A171" s="33"/>
      <c r="B171" s="33"/>
      <c r="F171" s="34"/>
    </row>
    <row r="172" spans="1:6" ht="12.75">
      <c r="A172" s="33"/>
      <c r="B172" s="33"/>
      <c r="F172" s="34"/>
    </row>
    <row r="173" spans="1:6" ht="12.75">
      <c r="A173" s="33"/>
      <c r="B173" s="33"/>
      <c r="F173" s="34"/>
    </row>
    <row r="174" spans="1:6" ht="12.75">
      <c r="A174" s="33"/>
      <c r="B174" s="33"/>
      <c r="F174" s="34"/>
    </row>
    <row r="175" spans="1:6" ht="12.75">
      <c r="A175" s="33"/>
      <c r="B175" s="33"/>
      <c r="F175" s="34"/>
    </row>
    <row r="176" spans="1:6" ht="12.75">
      <c r="A176" s="33"/>
      <c r="B176" s="33"/>
      <c r="F176" s="34"/>
    </row>
    <row r="177" spans="1:6" ht="12.75">
      <c r="A177" s="33"/>
      <c r="B177" s="33"/>
      <c r="F177" s="34"/>
    </row>
    <row r="178" spans="1:6" ht="12.75">
      <c r="A178" s="33"/>
      <c r="B178" s="33"/>
      <c r="F178" s="34"/>
    </row>
    <row r="179" spans="1:6" ht="12.75">
      <c r="A179" s="33"/>
      <c r="B179" s="33"/>
      <c r="F179" s="34"/>
    </row>
    <row r="180" spans="1:6" ht="12.75">
      <c r="A180" s="33"/>
      <c r="B180" s="33"/>
      <c r="F180" s="34"/>
    </row>
    <row r="181" spans="1:6" ht="12.75">
      <c r="A181" s="33"/>
      <c r="B181" s="33"/>
      <c r="F181" s="34"/>
    </row>
    <row r="182" spans="1:6" ht="12.75">
      <c r="A182" s="33"/>
      <c r="B182" s="33"/>
      <c r="F182" s="34"/>
    </row>
    <row r="183" spans="1:6" ht="12.75">
      <c r="A183" s="33"/>
      <c r="B183" s="33"/>
      <c r="F183" s="34"/>
    </row>
    <row r="184" spans="1:6" ht="12.75">
      <c r="A184" s="33"/>
      <c r="B184" s="33"/>
      <c r="F184" s="34"/>
    </row>
    <row r="185" spans="1:6" ht="12.75">
      <c r="A185" s="33"/>
      <c r="B185" s="33"/>
      <c r="F185" s="34"/>
    </row>
    <row r="186" spans="1:6" ht="12.75">
      <c r="A186" s="33"/>
      <c r="B186" s="33"/>
      <c r="F186" s="34"/>
    </row>
    <row r="187" spans="1:6" ht="12.75">
      <c r="A187" s="33"/>
      <c r="B187" s="33"/>
      <c r="F187" s="34"/>
    </row>
    <row r="188" spans="1:6" ht="12.75">
      <c r="A188" s="33"/>
      <c r="B188" s="33"/>
      <c r="F188" s="34"/>
    </row>
    <row r="189" spans="1:6" ht="12.75">
      <c r="A189" s="33"/>
      <c r="B189" s="33"/>
      <c r="F189" s="34"/>
    </row>
    <row r="190" spans="1:6" ht="12.75">
      <c r="A190" s="33"/>
      <c r="B190" s="33"/>
      <c r="F190" s="34"/>
    </row>
    <row r="191" spans="1:6" ht="12.75">
      <c r="A191" s="33"/>
      <c r="B191" s="33"/>
      <c r="F191" s="34"/>
    </row>
    <row r="192" spans="1:6" ht="12.75">
      <c r="A192" s="33"/>
      <c r="B192" s="33"/>
      <c r="F192" s="34"/>
    </row>
    <row r="193" spans="1:6" ht="12.75">
      <c r="A193" s="33"/>
      <c r="B193" s="33"/>
      <c r="F193" s="34"/>
    </row>
    <row r="194" spans="1:6" ht="12.75">
      <c r="A194" s="33"/>
      <c r="B194" s="33"/>
      <c r="F194" s="34"/>
    </row>
    <row r="195" spans="1:6" ht="12.75">
      <c r="A195" s="33"/>
      <c r="B195" s="33"/>
      <c r="F195" s="34"/>
    </row>
    <row r="196" spans="1:6" ht="12.75">
      <c r="A196" s="33"/>
      <c r="B196" s="33"/>
      <c r="F196" s="34"/>
    </row>
    <row r="197" spans="1:6" ht="12.75">
      <c r="A197" s="33"/>
      <c r="B197" s="33"/>
      <c r="F197" s="34"/>
    </row>
    <row r="198" spans="1:6" ht="12.75">
      <c r="A198" s="33"/>
      <c r="B198" s="33"/>
      <c r="F198" s="34"/>
    </row>
    <row r="199" spans="1:6" ht="12.75">
      <c r="A199" s="33"/>
      <c r="B199" s="33"/>
      <c r="F199" s="34"/>
    </row>
    <row r="200" spans="1:6" ht="12.75">
      <c r="A200" s="33"/>
      <c r="B200" s="33"/>
      <c r="F200" s="34"/>
    </row>
    <row r="201" spans="1:6" ht="12.75">
      <c r="A201" s="33"/>
      <c r="B201" s="33"/>
      <c r="F201" s="34"/>
    </row>
    <row r="202" spans="1:6" ht="12.75">
      <c r="A202" s="33"/>
      <c r="B202" s="33"/>
      <c r="F202" s="34"/>
    </row>
    <row r="203" spans="1:6" ht="12.75">
      <c r="A203" s="33"/>
      <c r="B203" s="33"/>
      <c r="F203" s="34"/>
    </row>
    <row r="204" spans="1:6" ht="12.75">
      <c r="A204" s="33"/>
      <c r="B204" s="33"/>
      <c r="F204" s="34"/>
    </row>
    <row r="205" spans="1:6" ht="12.75">
      <c r="A205" s="33"/>
      <c r="B205" s="33"/>
      <c r="F205" s="34"/>
    </row>
    <row r="206" spans="1:6" ht="12.75">
      <c r="A206" s="33"/>
      <c r="B206" s="33"/>
      <c r="F206" s="34"/>
    </row>
    <row r="207" spans="1:6" ht="12.75">
      <c r="A207" s="33"/>
      <c r="B207" s="33"/>
      <c r="F207" s="34"/>
    </row>
    <row r="208" spans="1:6" ht="12.75">
      <c r="A208" s="33"/>
      <c r="B208" s="33"/>
      <c r="F208" s="34"/>
    </row>
    <row r="209" spans="1:6" ht="12.75">
      <c r="A209" s="33"/>
      <c r="B209" s="33"/>
      <c r="F209" s="34"/>
    </row>
    <row r="210" spans="1:6" ht="12.75">
      <c r="A210" s="33"/>
      <c r="B210" s="33"/>
      <c r="F210" s="34"/>
    </row>
    <row r="211" spans="1:6" ht="12.75">
      <c r="A211" s="33"/>
      <c r="B211" s="33"/>
      <c r="F211" s="34"/>
    </row>
    <row r="212" spans="1:6" ht="12.75">
      <c r="A212" s="33"/>
      <c r="B212" s="33"/>
      <c r="F212" s="34"/>
    </row>
    <row r="213" spans="1:6" ht="12.75">
      <c r="A213" s="33"/>
      <c r="B213" s="33"/>
      <c r="F213" s="34"/>
    </row>
    <row r="214" spans="1:6" ht="12.75">
      <c r="A214" s="33"/>
      <c r="B214" s="33"/>
      <c r="F214" s="34"/>
    </row>
    <row r="215" spans="1:6" ht="12.75">
      <c r="A215" s="33"/>
      <c r="B215" s="33"/>
      <c r="F215" s="34"/>
    </row>
    <row r="216" spans="1:6" ht="12.75">
      <c r="A216" s="33"/>
      <c r="B216" s="33"/>
      <c r="F216" s="34"/>
    </row>
    <row r="217" spans="1:6" ht="12.75">
      <c r="A217" s="33"/>
      <c r="B217" s="33"/>
      <c r="F217" s="34"/>
    </row>
    <row r="218" spans="1:6" ht="12.75">
      <c r="A218" s="33"/>
      <c r="B218" s="33"/>
      <c r="F218" s="34"/>
    </row>
    <row r="219" spans="1:6" ht="12.75">
      <c r="A219" s="33"/>
      <c r="B219" s="33"/>
      <c r="F219" s="34"/>
    </row>
    <row r="220" spans="1:6" ht="12.75">
      <c r="A220" s="33"/>
      <c r="B220" s="33"/>
      <c r="F220" s="34"/>
    </row>
    <row r="221" spans="1:6" ht="12.75">
      <c r="A221" s="33"/>
      <c r="B221" s="33"/>
      <c r="F221" s="34"/>
    </row>
    <row r="222" spans="1:6" ht="12.75">
      <c r="A222" s="33"/>
      <c r="B222" s="33"/>
      <c r="F222" s="34"/>
    </row>
    <row r="223" spans="1:6" ht="12.75">
      <c r="A223" s="33"/>
      <c r="B223" s="33"/>
      <c r="F223" s="34"/>
    </row>
    <row r="224" spans="1:6" ht="12.75">
      <c r="A224" s="33"/>
      <c r="B224" s="33"/>
      <c r="F224" s="34"/>
    </row>
    <row r="225" spans="1:6" ht="12.75">
      <c r="A225" s="33"/>
      <c r="B225" s="33"/>
      <c r="F225" s="34"/>
    </row>
    <row r="226" spans="1:6" ht="12.75">
      <c r="A226" s="33"/>
      <c r="B226" s="33"/>
      <c r="F226" s="34"/>
    </row>
    <row r="227" spans="1:6" ht="12.75">
      <c r="A227" s="33"/>
      <c r="B227" s="33"/>
      <c r="F227" s="34"/>
    </row>
    <row r="228" spans="1:6" ht="12.75">
      <c r="A228" s="33"/>
      <c r="B228" s="33"/>
      <c r="F228" s="34"/>
    </row>
    <row r="229" spans="1:6" ht="12.75">
      <c r="A229" s="33"/>
      <c r="B229" s="33"/>
      <c r="F229" s="34"/>
    </row>
    <row r="230" spans="1:6" ht="12.75">
      <c r="A230" s="33"/>
      <c r="B230" s="33"/>
      <c r="F230" s="34"/>
    </row>
    <row r="231" spans="1:6" ht="12.75">
      <c r="A231" s="33"/>
      <c r="B231" s="33"/>
      <c r="F231" s="34"/>
    </row>
    <row r="232" spans="1:6" ht="12.75">
      <c r="A232" s="33"/>
      <c r="B232" s="33"/>
      <c r="F232" s="34"/>
    </row>
    <row r="233" spans="1:6" ht="12.75">
      <c r="A233" s="33"/>
      <c r="B233" s="33"/>
      <c r="F233" s="34"/>
    </row>
    <row r="234" spans="1:6" ht="12.75">
      <c r="A234" s="33"/>
      <c r="B234" s="33"/>
      <c r="F234" s="34"/>
    </row>
    <row r="235" spans="1:6" ht="12.75">
      <c r="A235" s="33"/>
      <c r="B235" s="33"/>
      <c r="F235" s="34"/>
    </row>
    <row r="236" spans="1:6" ht="12.75">
      <c r="A236" s="33"/>
      <c r="B236" s="33"/>
      <c r="F236" s="34"/>
    </row>
    <row r="237" spans="1:6" ht="12.75">
      <c r="A237" s="33"/>
      <c r="B237" s="33"/>
      <c r="F237" s="34"/>
    </row>
    <row r="238" spans="1:6" ht="12.75">
      <c r="A238" s="33"/>
      <c r="B238" s="33"/>
      <c r="F238" s="34"/>
    </row>
    <row r="239" spans="1:6" ht="12.75">
      <c r="A239" s="33"/>
      <c r="B239" s="33"/>
      <c r="F239" s="34"/>
    </row>
    <row r="240" spans="1:6" ht="12.75">
      <c r="A240" s="33"/>
      <c r="B240" s="33"/>
      <c r="F240" s="34"/>
    </row>
    <row r="241" spans="1:6" ht="12.75">
      <c r="A241" s="33"/>
      <c r="B241" s="33"/>
      <c r="F241" s="34"/>
    </row>
    <row r="242" spans="1:6" ht="12.75">
      <c r="A242" s="33"/>
      <c r="B242" s="33"/>
      <c r="F242" s="34"/>
    </row>
    <row r="243" spans="1:6" ht="12.75">
      <c r="A243" s="33"/>
      <c r="B243" s="33"/>
      <c r="F243" s="34"/>
    </row>
    <row r="244" spans="1:6" ht="12.75">
      <c r="A244" s="33"/>
      <c r="B244" s="33"/>
      <c r="F244" s="34"/>
    </row>
    <row r="245" spans="1:6" ht="12.75">
      <c r="A245" s="33"/>
      <c r="B245" s="33"/>
      <c r="F245" s="34"/>
    </row>
    <row r="246" spans="1:6" ht="12.75">
      <c r="A246" s="33"/>
      <c r="B246" s="33"/>
      <c r="F246" s="34"/>
    </row>
    <row r="247" spans="1:6" ht="12.75">
      <c r="A247" s="33"/>
      <c r="B247" s="33"/>
      <c r="F247" s="34"/>
    </row>
    <row r="248" spans="1:6" ht="12.75">
      <c r="A248" s="33"/>
      <c r="B248" s="33"/>
      <c r="F248" s="34"/>
    </row>
    <row r="249" spans="1:6" ht="12.75">
      <c r="A249" s="33"/>
      <c r="B249" s="33"/>
      <c r="F249" s="34"/>
    </row>
    <row r="250" spans="1:6" ht="12.75">
      <c r="A250" s="33"/>
      <c r="B250" s="33"/>
      <c r="F250" s="34"/>
    </row>
    <row r="251" spans="1:6" ht="12.75">
      <c r="A251" s="33"/>
      <c r="B251" s="33"/>
      <c r="F251" s="34"/>
    </row>
    <row r="252" spans="1:6" ht="12.75">
      <c r="A252" s="33"/>
      <c r="B252" s="33"/>
      <c r="F252" s="34"/>
    </row>
    <row r="253" spans="1:6" ht="12.75">
      <c r="A253" s="33"/>
      <c r="B253" s="33"/>
      <c r="F253" s="34"/>
    </row>
    <row r="254" spans="1:6" ht="12.75">
      <c r="A254" s="33"/>
      <c r="B254" s="33"/>
      <c r="F254" s="34"/>
    </row>
    <row r="255" spans="1:6" ht="12.75">
      <c r="A255" s="33"/>
      <c r="B255" s="33"/>
      <c r="F255" s="34"/>
    </row>
    <row r="256" spans="1:6" ht="12.75">
      <c r="A256" s="33"/>
      <c r="B256" s="33"/>
      <c r="F256" s="34"/>
    </row>
    <row r="257" spans="1:6" ht="12.75">
      <c r="A257" s="33"/>
      <c r="B257" s="33"/>
      <c r="F257" s="34"/>
    </row>
    <row r="258" spans="1:6" ht="12.75">
      <c r="A258" s="33"/>
      <c r="B258" s="33"/>
      <c r="F258" s="34"/>
    </row>
    <row r="259" spans="1:6" ht="12.75">
      <c r="A259" s="33"/>
      <c r="B259" s="33"/>
      <c r="F259" s="34"/>
    </row>
    <row r="260" spans="1:6" ht="12.75">
      <c r="A260" s="33"/>
      <c r="B260" s="33"/>
      <c r="F260" s="34"/>
    </row>
    <row r="261" spans="1:6" ht="12.75">
      <c r="A261" s="33"/>
      <c r="B261" s="33"/>
      <c r="F261" s="34"/>
    </row>
    <row r="262" spans="1:6" ht="12.75">
      <c r="A262" s="33"/>
      <c r="B262" s="33"/>
      <c r="F262" s="34"/>
    </row>
    <row r="263" spans="1:6" ht="12.75">
      <c r="A263" s="33"/>
      <c r="B263" s="33"/>
      <c r="F263" s="34"/>
    </row>
    <row r="264" spans="1:6" ht="12.75">
      <c r="A264" s="33"/>
      <c r="B264" s="33"/>
      <c r="F264" s="34"/>
    </row>
    <row r="265" spans="1:6" ht="12.75">
      <c r="A265" s="33"/>
      <c r="B265" s="33"/>
      <c r="F265" s="34"/>
    </row>
    <row r="266" spans="1:6" ht="12.75">
      <c r="A266" s="33"/>
      <c r="B266" s="33"/>
      <c r="F266" s="34"/>
    </row>
    <row r="267" spans="1:6" ht="12.75">
      <c r="A267" s="33"/>
      <c r="B267" s="33"/>
      <c r="F267" s="34"/>
    </row>
    <row r="268" spans="1:6" ht="12.75">
      <c r="A268" s="33"/>
      <c r="B268" s="33"/>
      <c r="F268" s="34"/>
    </row>
    <row r="269" spans="1:6" ht="12.75">
      <c r="A269" s="33"/>
      <c r="B269" s="33"/>
      <c r="F269" s="34"/>
    </row>
    <row r="270" spans="1:6" ht="12.75">
      <c r="A270" s="33"/>
      <c r="B270" s="33"/>
      <c r="F270" s="34"/>
    </row>
    <row r="271" spans="1:6" ht="12.75">
      <c r="A271" s="33"/>
      <c r="B271" s="33"/>
      <c r="F271" s="34"/>
    </row>
    <row r="272" spans="1:6" ht="12.75">
      <c r="A272" s="33"/>
      <c r="B272" s="33"/>
      <c r="F272" s="34"/>
    </row>
    <row r="273" spans="1:6" ht="12.75">
      <c r="A273" s="33"/>
      <c r="B273" s="33"/>
      <c r="F273" s="34"/>
    </row>
    <row r="274" spans="1:6" ht="12.75">
      <c r="A274" s="33"/>
      <c r="B274" s="33"/>
      <c r="F274" s="34"/>
    </row>
    <row r="275" spans="1:6" ht="12.75">
      <c r="A275" s="33"/>
      <c r="B275" s="33"/>
      <c r="F275" s="34"/>
    </row>
    <row r="276" spans="1:6" ht="12.75">
      <c r="A276" s="33"/>
      <c r="B276" s="33"/>
      <c r="F276" s="34"/>
    </row>
    <row r="277" spans="1:6" ht="12.75">
      <c r="A277" s="33"/>
      <c r="B277" s="33"/>
      <c r="F277" s="34"/>
    </row>
    <row r="278" spans="1:6" ht="12.75">
      <c r="A278" s="33"/>
      <c r="B278" s="33"/>
      <c r="F278" s="34"/>
    </row>
    <row r="279" spans="1:6" ht="12.75">
      <c r="A279" s="33"/>
      <c r="B279" s="33"/>
      <c r="F279" s="34"/>
    </row>
    <row r="280" spans="1:6" ht="12.75">
      <c r="A280" s="33"/>
      <c r="B280" s="33"/>
      <c r="F280" s="34"/>
    </row>
    <row r="281" spans="1:6" ht="12.75">
      <c r="A281" s="33"/>
      <c r="B281" s="33"/>
      <c r="F281" s="34"/>
    </row>
  </sheetData>
  <sheetProtection selectLockedCells="1"/>
  <mergeCells count="18">
    <mergeCell ref="A3:H3"/>
    <mergeCell ref="C4:G4"/>
    <mergeCell ref="C5:G5"/>
    <mergeCell ref="H10:H11"/>
    <mergeCell ref="E6:F6"/>
    <mergeCell ref="A10:A11"/>
    <mergeCell ref="D10:D11"/>
    <mergeCell ref="E10:E11"/>
    <mergeCell ref="F10:F11"/>
    <mergeCell ref="A8:C8"/>
    <mergeCell ref="B10:C11"/>
    <mergeCell ref="A7:B7"/>
    <mergeCell ref="A78:H78"/>
    <mergeCell ref="A77:H77"/>
    <mergeCell ref="D73:E73"/>
    <mergeCell ref="D74:E74"/>
    <mergeCell ref="D75:E75"/>
    <mergeCell ref="D72:E72"/>
  </mergeCells>
  <printOptions horizontalCentered="1"/>
  <pageMargins left="0.17" right="0.1968503937007874" top="0.14" bottom="0.11811023622047245" header="0" footer="0"/>
  <pageSetup fitToHeight="1" fitToWidth="1"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F57"/>
  <sheetViews>
    <sheetView showGridLines="0" showRowColHeaders="0" zoomScale="130" zoomScaleNormal="130" zoomScalePageLayoutView="0" workbookViewId="0" topLeftCell="A1">
      <pane ySplit="5" topLeftCell="A6" activePane="bottomLeft" state="frozen"/>
      <selection pane="topLeft" activeCell="A5" sqref="A5:R5"/>
      <selection pane="bottomLeft" activeCell="B6" sqref="B6"/>
    </sheetView>
  </sheetViews>
  <sheetFormatPr defaultColWidth="9.00390625" defaultRowHeight="12.75"/>
  <cols>
    <col min="1" max="1" width="3.625" style="115" customWidth="1"/>
    <col min="2" max="2" width="5.00390625" style="115" customWidth="1"/>
    <col min="3" max="3" width="21.00390625" style="115" customWidth="1"/>
    <col min="4" max="4" width="12.25390625" style="115" customWidth="1"/>
    <col min="5" max="5" width="12.00390625" style="115" customWidth="1"/>
    <col min="6" max="6" width="28.375" style="115" customWidth="1"/>
    <col min="7" max="16384" width="9.125" style="115" customWidth="1"/>
  </cols>
  <sheetData>
    <row r="1" spans="1:6" ht="30" customHeight="1">
      <c r="A1" s="773" t="s">
        <v>82</v>
      </c>
      <c r="B1" s="773"/>
      <c r="C1" s="773"/>
      <c r="D1" s="773"/>
      <c r="E1" s="773"/>
      <c r="F1" s="773"/>
    </row>
    <row r="2" spans="1:6" ht="12.75" customHeight="1" hidden="1">
      <c r="A2" s="774"/>
      <c r="B2" s="774"/>
      <c r="C2" s="774"/>
      <c r="D2" s="774"/>
      <c r="E2" s="774"/>
      <c r="F2" s="774"/>
    </row>
    <row r="3" spans="1:6" ht="12.75" customHeight="1">
      <c r="A3" s="775" t="str">
        <f>UPPER(Установка!C3)</f>
        <v>ТВД-ЛЕТНЕЕ ПЕРВЕНСТВО Г.КАЗАНИ</v>
      </c>
      <c r="B3" s="775"/>
      <c r="C3" s="775"/>
      <c r="D3" s="775"/>
      <c r="E3" s="775"/>
      <c r="F3" s="775"/>
    </row>
    <row r="4" spans="1:6" ht="12.75">
      <c r="A4" s="776" t="s">
        <v>50</v>
      </c>
      <c r="B4" s="776"/>
      <c r="C4" s="776"/>
      <c r="D4" s="776"/>
      <c r="E4" s="776"/>
      <c r="F4" s="776"/>
    </row>
    <row r="5" spans="1:6" s="116" customFormat="1" ht="45">
      <c r="A5" s="29" t="s">
        <v>65</v>
      </c>
      <c r="B5" s="174" t="s">
        <v>83</v>
      </c>
      <c r="C5" s="114" t="s">
        <v>5</v>
      </c>
      <c r="D5" s="169" t="s">
        <v>27</v>
      </c>
      <c r="E5" s="114" t="s">
        <v>66</v>
      </c>
      <c r="F5" s="114" t="s">
        <v>67</v>
      </c>
    </row>
    <row r="6" spans="1:6" ht="12.75" customHeight="1">
      <c r="A6" s="45">
        <f>ROW()-5</f>
        <v>1</v>
      </c>
      <c r="B6" s="196"/>
      <c r="C6" s="197"/>
      <c r="D6" s="198"/>
      <c r="E6" s="199"/>
      <c r="F6" s="200"/>
    </row>
    <row r="7" spans="1:6" ht="12.75" customHeight="1">
      <c r="A7" s="45">
        <f aca="true" t="shared" si="0" ref="A7:A16">ROW()-5</f>
        <v>2</v>
      </c>
      <c r="B7" s="196"/>
      <c r="C7" s="197"/>
      <c r="D7" s="198"/>
      <c r="E7" s="199"/>
      <c r="F7" s="201"/>
    </row>
    <row r="8" spans="1:6" ht="12.75" customHeight="1">
      <c r="A8" s="45">
        <f t="shared" si="0"/>
        <v>3</v>
      </c>
      <c r="B8" s="196"/>
      <c r="C8" s="197"/>
      <c r="D8" s="198"/>
      <c r="E8" s="199"/>
      <c r="F8" s="201"/>
    </row>
    <row r="9" spans="1:6" ht="12.75" customHeight="1">
      <c r="A9" s="45">
        <f t="shared" si="0"/>
        <v>4</v>
      </c>
      <c r="B9" s="196"/>
      <c r="C9" s="197"/>
      <c r="D9" s="198"/>
      <c r="E9" s="199"/>
      <c r="F9" s="201"/>
    </row>
    <row r="10" spans="1:6" ht="12.75" customHeight="1">
      <c r="A10" s="45">
        <f t="shared" si="0"/>
        <v>5</v>
      </c>
      <c r="B10" s="196"/>
      <c r="C10" s="197"/>
      <c r="D10" s="198"/>
      <c r="E10" s="199"/>
      <c r="F10" s="201"/>
    </row>
    <row r="11" spans="1:6" ht="12.75" customHeight="1">
      <c r="A11" s="45">
        <f t="shared" si="0"/>
        <v>6</v>
      </c>
      <c r="B11" s="196"/>
      <c r="C11" s="197"/>
      <c r="D11" s="198"/>
      <c r="E11" s="199"/>
      <c r="F11" s="201"/>
    </row>
    <row r="12" spans="1:6" ht="12.75" customHeight="1">
      <c r="A12" s="45">
        <f t="shared" si="0"/>
        <v>7</v>
      </c>
      <c r="B12" s="196"/>
      <c r="C12" s="197"/>
      <c r="D12" s="198"/>
      <c r="E12" s="202"/>
      <c r="F12" s="201"/>
    </row>
    <row r="13" spans="1:6" ht="12.75" customHeight="1">
      <c r="A13" s="45">
        <f t="shared" si="0"/>
        <v>8</v>
      </c>
      <c r="B13" s="196"/>
      <c r="C13" s="197"/>
      <c r="D13" s="198"/>
      <c r="E13" s="202"/>
      <c r="F13" s="201"/>
    </row>
    <row r="14" spans="1:6" s="117" customFormat="1" ht="12.75" customHeight="1">
      <c r="A14" s="45">
        <f t="shared" si="0"/>
        <v>9</v>
      </c>
      <c r="B14" s="196"/>
      <c r="C14" s="197"/>
      <c r="D14" s="198"/>
      <c r="E14" s="202"/>
      <c r="F14" s="201"/>
    </row>
    <row r="15" spans="1:6" s="117" customFormat="1" ht="12.75" customHeight="1">
      <c r="A15" s="45">
        <f t="shared" si="0"/>
        <v>10</v>
      </c>
      <c r="B15" s="196"/>
      <c r="C15" s="197"/>
      <c r="D15" s="198"/>
      <c r="E15" s="202"/>
      <c r="F15" s="201"/>
    </row>
    <row r="16" spans="1:6" ht="12.75" customHeight="1">
      <c r="A16" s="45">
        <f t="shared" si="0"/>
        <v>11</v>
      </c>
      <c r="B16" s="196"/>
      <c r="C16" s="197"/>
      <c r="D16" s="198"/>
      <c r="E16" s="199"/>
      <c r="F16" s="201"/>
    </row>
    <row r="17" spans="1:6" ht="12.75" customHeight="1">
      <c r="A17" s="45">
        <f aca="true" t="shared" si="1" ref="A17:A26">ROW()-5</f>
        <v>12</v>
      </c>
      <c r="B17" s="196"/>
      <c r="C17" s="197"/>
      <c r="D17" s="198"/>
      <c r="E17" s="199"/>
      <c r="F17" s="201"/>
    </row>
    <row r="18" spans="1:6" ht="12.75" customHeight="1">
      <c r="A18" s="45">
        <f t="shared" si="1"/>
        <v>13</v>
      </c>
      <c r="B18" s="196"/>
      <c r="C18" s="197"/>
      <c r="D18" s="198"/>
      <c r="E18" s="199"/>
      <c r="F18" s="201"/>
    </row>
    <row r="19" spans="1:6" ht="12.75" customHeight="1">
      <c r="A19" s="45">
        <f t="shared" si="1"/>
        <v>14</v>
      </c>
      <c r="B19" s="196"/>
      <c r="C19" s="197"/>
      <c r="D19" s="198"/>
      <c r="E19" s="199"/>
      <c r="F19" s="201"/>
    </row>
    <row r="20" spans="1:6" ht="12.75" customHeight="1">
      <c r="A20" s="45">
        <f t="shared" si="1"/>
        <v>15</v>
      </c>
      <c r="B20" s="196"/>
      <c r="C20" s="197"/>
      <c r="D20" s="198"/>
      <c r="E20" s="199"/>
      <c r="F20" s="201"/>
    </row>
    <row r="21" spans="1:6" ht="12.75" customHeight="1">
      <c r="A21" s="45">
        <f t="shared" si="1"/>
        <v>16</v>
      </c>
      <c r="B21" s="196"/>
      <c r="C21" s="197"/>
      <c r="D21" s="198"/>
      <c r="E21" s="199"/>
      <c r="F21" s="201"/>
    </row>
    <row r="22" spans="1:6" ht="12.75" customHeight="1">
      <c r="A22" s="45">
        <f t="shared" si="1"/>
        <v>17</v>
      </c>
      <c r="B22" s="196"/>
      <c r="C22" s="197"/>
      <c r="D22" s="198"/>
      <c r="E22" s="202"/>
      <c r="F22" s="201"/>
    </row>
    <row r="23" spans="1:6" ht="12.75" customHeight="1">
      <c r="A23" s="45">
        <f t="shared" si="1"/>
        <v>18</v>
      </c>
      <c r="B23" s="196"/>
      <c r="C23" s="197"/>
      <c r="D23" s="198"/>
      <c r="E23" s="202"/>
      <c r="F23" s="201"/>
    </row>
    <row r="24" spans="1:6" s="117" customFormat="1" ht="12.75" customHeight="1">
      <c r="A24" s="45">
        <f t="shared" si="1"/>
        <v>19</v>
      </c>
      <c r="B24" s="196"/>
      <c r="C24" s="197"/>
      <c r="D24" s="198"/>
      <c r="E24" s="202"/>
      <c r="F24" s="201"/>
    </row>
    <row r="25" spans="1:6" s="117" customFormat="1" ht="12.75" customHeight="1">
      <c r="A25" s="45">
        <f t="shared" si="1"/>
        <v>20</v>
      </c>
      <c r="B25" s="196"/>
      <c r="C25" s="197"/>
      <c r="D25" s="198"/>
      <c r="E25" s="202"/>
      <c r="F25" s="201"/>
    </row>
    <row r="26" spans="1:6" ht="12.75" customHeight="1">
      <c r="A26" s="45">
        <f t="shared" si="1"/>
        <v>21</v>
      </c>
      <c r="B26" s="196"/>
      <c r="C26" s="197"/>
      <c r="D26" s="198"/>
      <c r="E26" s="199"/>
      <c r="F26" s="201"/>
    </row>
    <row r="27" spans="1:6" ht="12.75" customHeight="1">
      <c r="A27" s="45">
        <f aca="true" t="shared" si="2" ref="A27:A36">ROW()-5</f>
        <v>22</v>
      </c>
      <c r="B27" s="196"/>
      <c r="C27" s="197"/>
      <c r="D27" s="198"/>
      <c r="E27" s="199"/>
      <c r="F27" s="201"/>
    </row>
    <row r="28" spans="1:6" ht="12.75" customHeight="1">
      <c r="A28" s="45">
        <f t="shared" si="2"/>
        <v>23</v>
      </c>
      <c r="B28" s="196"/>
      <c r="C28" s="197"/>
      <c r="D28" s="198"/>
      <c r="E28" s="199"/>
      <c r="F28" s="201"/>
    </row>
    <row r="29" spans="1:6" ht="12.75" customHeight="1">
      <c r="A29" s="45">
        <f t="shared" si="2"/>
        <v>24</v>
      </c>
      <c r="B29" s="196"/>
      <c r="C29" s="197"/>
      <c r="D29" s="198"/>
      <c r="E29" s="199"/>
      <c r="F29" s="201"/>
    </row>
    <row r="30" spans="1:6" ht="12.75" customHeight="1">
      <c r="A30" s="45">
        <f t="shared" si="2"/>
        <v>25</v>
      </c>
      <c r="B30" s="196"/>
      <c r="C30" s="197"/>
      <c r="D30" s="198"/>
      <c r="E30" s="199"/>
      <c r="F30" s="201"/>
    </row>
    <row r="31" spans="1:6" ht="12.75" customHeight="1">
      <c r="A31" s="45">
        <f t="shared" si="2"/>
        <v>26</v>
      </c>
      <c r="B31" s="196"/>
      <c r="C31" s="197"/>
      <c r="D31" s="198"/>
      <c r="E31" s="199"/>
      <c r="F31" s="201"/>
    </row>
    <row r="32" spans="1:6" ht="12.75" customHeight="1">
      <c r="A32" s="45">
        <f t="shared" si="2"/>
        <v>27</v>
      </c>
      <c r="B32" s="196"/>
      <c r="C32" s="197"/>
      <c r="D32" s="198"/>
      <c r="E32" s="202"/>
      <c r="F32" s="201"/>
    </row>
    <row r="33" spans="1:6" ht="12.75" customHeight="1">
      <c r="A33" s="45">
        <f t="shared" si="2"/>
        <v>28</v>
      </c>
      <c r="B33" s="196"/>
      <c r="C33" s="197"/>
      <c r="D33" s="198"/>
      <c r="E33" s="202"/>
      <c r="F33" s="201"/>
    </row>
    <row r="34" spans="1:6" s="117" customFormat="1" ht="12.75" customHeight="1">
      <c r="A34" s="45">
        <f t="shared" si="2"/>
        <v>29</v>
      </c>
      <c r="B34" s="196"/>
      <c r="C34" s="197"/>
      <c r="D34" s="198"/>
      <c r="E34" s="202"/>
      <c r="F34" s="201"/>
    </row>
    <row r="35" spans="1:6" s="117" customFormat="1" ht="12.75" customHeight="1">
      <c r="A35" s="45">
        <f t="shared" si="2"/>
        <v>30</v>
      </c>
      <c r="B35" s="196"/>
      <c r="C35" s="197"/>
      <c r="D35" s="198"/>
      <c r="E35" s="202"/>
      <c r="F35" s="201"/>
    </row>
    <row r="36" spans="1:6" ht="12.75" customHeight="1">
      <c r="A36" s="45">
        <f t="shared" si="2"/>
        <v>31</v>
      </c>
      <c r="B36" s="196"/>
      <c r="C36" s="197"/>
      <c r="D36" s="198"/>
      <c r="E36" s="199"/>
      <c r="F36" s="201"/>
    </row>
    <row r="37" spans="1:6" ht="12.75" customHeight="1">
      <c r="A37" s="45">
        <f aca="true" t="shared" si="3" ref="A37:A55">ROW()-5</f>
        <v>32</v>
      </c>
      <c r="B37" s="196"/>
      <c r="C37" s="197"/>
      <c r="D37" s="198"/>
      <c r="E37" s="199"/>
      <c r="F37" s="201"/>
    </row>
    <row r="38" spans="1:6" ht="12.75" customHeight="1">
      <c r="A38" s="45">
        <f t="shared" si="3"/>
        <v>33</v>
      </c>
      <c r="B38" s="196"/>
      <c r="C38" s="197"/>
      <c r="D38" s="198"/>
      <c r="E38" s="199"/>
      <c r="F38" s="201"/>
    </row>
    <row r="39" spans="1:6" ht="12.75" customHeight="1">
      <c r="A39" s="45">
        <f t="shared" si="3"/>
        <v>34</v>
      </c>
      <c r="B39" s="196"/>
      <c r="C39" s="197"/>
      <c r="D39" s="198"/>
      <c r="E39" s="199"/>
      <c r="F39" s="201"/>
    </row>
    <row r="40" spans="1:6" ht="12.75" customHeight="1">
      <c r="A40" s="45">
        <f t="shared" si="3"/>
        <v>35</v>
      </c>
      <c r="B40" s="196"/>
      <c r="C40" s="197"/>
      <c r="D40" s="198"/>
      <c r="E40" s="199"/>
      <c r="F40" s="201"/>
    </row>
    <row r="41" spans="1:6" ht="12.75" customHeight="1">
      <c r="A41" s="45">
        <f t="shared" si="3"/>
        <v>36</v>
      </c>
      <c r="B41" s="196"/>
      <c r="C41" s="197"/>
      <c r="D41" s="198"/>
      <c r="E41" s="199"/>
      <c r="F41" s="201"/>
    </row>
    <row r="42" spans="1:6" ht="12.75" customHeight="1">
      <c r="A42" s="45">
        <f t="shared" si="3"/>
        <v>37</v>
      </c>
      <c r="B42" s="196"/>
      <c r="C42" s="197"/>
      <c r="D42" s="198"/>
      <c r="E42" s="202"/>
      <c r="F42" s="201"/>
    </row>
    <row r="43" spans="1:6" ht="12.75" customHeight="1">
      <c r="A43" s="45">
        <f t="shared" si="3"/>
        <v>38</v>
      </c>
      <c r="B43" s="196"/>
      <c r="C43" s="197"/>
      <c r="D43" s="198"/>
      <c r="E43" s="202"/>
      <c r="F43" s="201"/>
    </row>
    <row r="44" spans="1:6" s="117" customFormat="1" ht="12.75" customHeight="1">
      <c r="A44" s="45">
        <f t="shared" si="3"/>
        <v>39</v>
      </c>
      <c r="B44" s="196"/>
      <c r="C44" s="197"/>
      <c r="D44" s="198"/>
      <c r="E44" s="202"/>
      <c r="F44" s="201"/>
    </row>
    <row r="45" spans="1:6" s="117" customFormat="1" ht="12.75" customHeight="1">
      <c r="A45" s="45">
        <f t="shared" si="3"/>
        <v>40</v>
      </c>
      <c r="B45" s="196"/>
      <c r="C45" s="197"/>
      <c r="D45" s="198"/>
      <c r="E45" s="202"/>
      <c r="F45" s="201"/>
    </row>
    <row r="46" spans="1:6" ht="12.75" customHeight="1">
      <c r="A46" s="45">
        <f t="shared" si="3"/>
        <v>41</v>
      </c>
      <c r="B46" s="196"/>
      <c r="C46" s="197"/>
      <c r="D46" s="198"/>
      <c r="E46" s="199"/>
      <c r="F46" s="201"/>
    </row>
    <row r="47" spans="1:6" ht="12.75" customHeight="1">
      <c r="A47" s="45">
        <f t="shared" si="3"/>
        <v>42</v>
      </c>
      <c r="B47" s="196"/>
      <c r="C47" s="197"/>
      <c r="D47" s="198"/>
      <c r="E47" s="199"/>
      <c r="F47" s="201"/>
    </row>
    <row r="48" spans="1:6" ht="12.75" customHeight="1">
      <c r="A48" s="45">
        <f t="shared" si="3"/>
        <v>43</v>
      </c>
      <c r="B48" s="196"/>
      <c r="C48" s="197"/>
      <c r="D48" s="198"/>
      <c r="E48" s="199"/>
      <c r="F48" s="201"/>
    </row>
    <row r="49" spans="1:6" ht="12.75" customHeight="1">
      <c r="A49" s="45">
        <f t="shared" si="3"/>
        <v>44</v>
      </c>
      <c r="B49" s="196"/>
      <c r="C49" s="197"/>
      <c r="D49" s="198"/>
      <c r="E49" s="199"/>
      <c r="F49" s="201"/>
    </row>
    <row r="50" spans="1:6" ht="12.75" customHeight="1">
      <c r="A50" s="45">
        <f t="shared" si="3"/>
        <v>45</v>
      </c>
      <c r="B50" s="196"/>
      <c r="C50" s="197"/>
      <c r="D50" s="198"/>
      <c r="E50" s="202"/>
      <c r="F50" s="201"/>
    </row>
    <row r="51" spans="1:6" ht="12.75" customHeight="1">
      <c r="A51" s="45">
        <f t="shared" si="3"/>
        <v>46</v>
      </c>
      <c r="B51" s="196"/>
      <c r="C51" s="197"/>
      <c r="D51" s="198"/>
      <c r="E51" s="202"/>
      <c r="F51" s="201"/>
    </row>
    <row r="52" spans="1:6" ht="12.75" customHeight="1">
      <c r="A52" s="45">
        <f t="shared" si="3"/>
        <v>47</v>
      </c>
      <c r="B52" s="196"/>
      <c r="C52" s="197"/>
      <c r="D52" s="198"/>
      <c r="E52" s="202"/>
      <c r="F52" s="201"/>
    </row>
    <row r="53" spans="1:6" ht="12.75" customHeight="1">
      <c r="A53" s="45">
        <f t="shared" si="3"/>
        <v>48</v>
      </c>
      <c r="B53" s="196"/>
      <c r="C53" s="197"/>
      <c r="D53" s="198"/>
      <c r="E53" s="202"/>
      <c r="F53" s="201"/>
    </row>
    <row r="54" spans="1:6" s="117" customFormat="1" ht="12.75" customHeight="1">
      <c r="A54" s="45">
        <f t="shared" si="3"/>
        <v>49</v>
      </c>
      <c r="B54" s="196"/>
      <c r="C54" s="197"/>
      <c r="D54" s="198"/>
      <c r="E54" s="202"/>
      <c r="F54" s="201"/>
    </row>
    <row r="55" spans="1:6" s="117" customFormat="1" ht="12.75" customHeight="1">
      <c r="A55" s="45">
        <f t="shared" si="3"/>
        <v>50</v>
      </c>
      <c r="B55" s="196"/>
      <c r="C55" s="197"/>
      <c r="D55" s="198"/>
      <c r="E55" s="202"/>
      <c r="F55" s="201"/>
    </row>
    <row r="56" spans="3:4" s="117" customFormat="1" ht="12.75">
      <c r="C56" s="23"/>
      <c r="D56" s="23"/>
    </row>
    <row r="57" spans="3:5" s="175" customFormat="1" ht="12.75" customHeight="1" hidden="1">
      <c r="C57" s="176">
        <f>50-COUNTIF(C6:C55,"")</f>
        <v>0</v>
      </c>
      <c r="D57" s="176"/>
      <c r="E57" s="177">
        <f ca="1">TODAY()</f>
        <v>41797</v>
      </c>
    </row>
    <row r="58" s="116" customFormat="1" ht="10.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</sheetData>
  <sheetProtection sheet="1" objects="1" scenarios="1" selectLockedCells="1"/>
  <mergeCells count="4">
    <mergeCell ref="A1:F1"/>
    <mergeCell ref="A2:F2"/>
    <mergeCell ref="A3:F3"/>
    <mergeCell ref="A4:F4"/>
  </mergeCells>
  <printOptions horizontalCentered="1"/>
  <pageMargins left="0.5905511811023623" right="0.1968503937007874" top="0.1968503937007874" bottom="0.1968503937007874" header="0" footer="0"/>
  <pageSetup horizontalDpi="600" verticalDpi="600" orientation="portrait" paperSize="9" scale="11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Y309"/>
  <sheetViews>
    <sheetView showGridLines="0" showRowColHeaders="0" zoomScalePageLayoutView="0" workbookViewId="0" topLeftCell="A1">
      <pane ySplit="7" topLeftCell="A8" activePane="bottomLeft" state="frozen"/>
      <selection pane="topLeft" activeCell="C8" sqref="C8"/>
      <selection pane="bottomLeft" activeCell="B8" sqref="B8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31.875" style="0" customWidth="1"/>
    <col min="4" max="4" width="6.75390625" style="0" customWidth="1"/>
    <col min="5" max="5" width="10.125" style="0" bestFit="1" customWidth="1"/>
    <col min="6" max="7" width="13.25390625" style="0" customWidth="1"/>
    <col min="8" max="8" width="11.375" style="0" bestFit="1" customWidth="1"/>
    <col min="9" max="9" width="20.875" style="0" customWidth="1"/>
    <col min="10" max="10" width="10.25390625" style="0" hidden="1" customWidth="1"/>
    <col min="11" max="11" width="9.125" style="236" hidden="1" customWidth="1"/>
    <col min="12" max="12" width="5.625" style="164" hidden="1" customWidth="1"/>
    <col min="13" max="13" width="4.875" style="164" hidden="1" customWidth="1"/>
    <col min="14" max="14" width="9.125" style="236" hidden="1" customWidth="1"/>
    <col min="15" max="15" width="3.00390625" style="236" hidden="1" customWidth="1"/>
    <col min="16" max="16" width="4.25390625" style="236" hidden="1" customWidth="1"/>
    <col min="17" max="17" width="3.125" style="236" hidden="1" customWidth="1"/>
    <col min="18" max="18" width="4.125" style="236" hidden="1" customWidth="1"/>
    <col min="19" max="19" width="3.375" style="236" hidden="1" customWidth="1"/>
    <col min="20" max="20" width="16.375" style="236" hidden="1" customWidth="1"/>
    <col min="21" max="21" width="5.625" style="236" hidden="1" customWidth="1"/>
  </cols>
  <sheetData>
    <row r="1" spans="1:10" ht="12.75">
      <c r="A1" s="555" t="s">
        <v>54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28.5" customHeight="1">
      <c r="A2" s="556" t="str">
        <f>UPPER(Установка!C3)</f>
        <v>ТВД-ЛЕТНЕЕ ПЕРВЕНСТВО Г.КАЗАНИ</v>
      </c>
      <c r="B2" s="556"/>
      <c r="C2" s="556"/>
      <c r="D2" s="556"/>
      <c r="E2" s="556"/>
      <c r="F2" s="556"/>
      <c r="G2" s="556"/>
      <c r="H2" s="556"/>
      <c r="I2" s="556"/>
      <c r="J2" s="556"/>
    </row>
    <row r="3" spans="1:10" ht="12.75">
      <c r="A3" s="557" t="s">
        <v>3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3:8" ht="18.75" customHeight="1">
      <c r="C4" s="42" t="s">
        <v>1</v>
      </c>
      <c r="D4" s="554" t="str">
        <f>UPPER(Установка!C4)</f>
        <v>14 ЛЕТ И МОЛОЖЕ</v>
      </c>
      <c r="E4" s="554"/>
      <c r="F4" s="554"/>
      <c r="G4" s="2"/>
      <c r="H4" s="28" t="str">
        <f>IF(Установка!C5="","Ю/Д/М/Ж",UPPER(Установка!C5))</f>
        <v>ДЕВУШКИ</v>
      </c>
    </row>
    <row r="5" spans="1:13" ht="19.5" customHeight="1">
      <c r="A5" s="155"/>
      <c r="B5" s="155"/>
      <c r="C5" s="155"/>
      <c r="D5" s="155"/>
      <c r="E5" s="155"/>
      <c r="F5" s="155"/>
      <c r="G5" s="155"/>
      <c r="K5" s="247"/>
      <c r="L5" s="236">
        <f>IF(K5=0,"",INDEX(C8:C107,K5))</f>
      </c>
      <c r="M5" s="164">
        <f>IF(K5=0,0,INDEX(B8:B72,K5))</f>
        <v>0</v>
      </c>
    </row>
    <row r="6" spans="3:13" s="164" customFormat="1" ht="12.75" hidden="1">
      <c r="C6" s="165">
        <f>65-COUNTIF(C8:C72,"")</f>
        <v>0</v>
      </c>
      <c r="I6" s="164">
        <f>COUNTIF(I8:I72,"СК")</f>
        <v>0</v>
      </c>
      <c r="J6" s="165">
        <f>100-COUNTIF(J8:J107,"")</f>
        <v>0</v>
      </c>
      <c r="K6" s="165"/>
      <c r="L6" s="165">
        <f>65-COUNTIF(L8:L72,0)</f>
        <v>0</v>
      </c>
      <c r="M6" s="165">
        <f>65-COUNTIF(M8:M72,0)</f>
        <v>0</v>
      </c>
    </row>
    <row r="7" spans="1:21" s="43" customFormat="1" ht="45">
      <c r="A7" s="157" t="s">
        <v>16</v>
      </c>
      <c r="B7" s="157" t="s">
        <v>73</v>
      </c>
      <c r="C7" s="157" t="s">
        <v>43</v>
      </c>
      <c r="D7" s="157" t="s">
        <v>35</v>
      </c>
      <c r="E7" s="157" t="s">
        <v>45</v>
      </c>
      <c r="F7" s="157" t="s">
        <v>27</v>
      </c>
      <c r="G7" s="157" t="s">
        <v>76</v>
      </c>
      <c r="H7" s="158" t="s">
        <v>55</v>
      </c>
      <c r="I7" s="158" t="s">
        <v>56</v>
      </c>
      <c r="J7" s="158" t="s">
        <v>57</v>
      </c>
      <c r="K7" s="237" t="s">
        <v>58</v>
      </c>
      <c r="L7" s="238" t="s">
        <v>59</v>
      </c>
      <c r="M7" s="238" t="s">
        <v>60</v>
      </c>
      <c r="N7" s="239"/>
      <c r="O7" s="240"/>
      <c r="P7" s="240"/>
      <c r="Q7" s="240"/>
      <c r="R7" s="240"/>
      <c r="S7" s="240"/>
      <c r="T7" s="240"/>
      <c r="U7" s="240"/>
    </row>
    <row r="8" spans="1:21" s="43" customFormat="1" ht="12.75">
      <c r="A8" s="156">
        <f aca="true" t="shared" si="0" ref="A8:A38">ROW()-7</f>
        <v>1</v>
      </c>
      <c r="B8" s="542"/>
      <c r="C8" s="547"/>
      <c r="D8" s="356"/>
      <c r="E8" s="549"/>
      <c r="F8" s="356"/>
      <c r="G8" s="163"/>
      <c r="H8" s="545"/>
      <c r="I8" s="546"/>
      <c r="J8" s="505"/>
      <c r="K8" s="241">
        <f aca="true" t="shared" si="1" ref="K8:K39">IF(ISBLANK(C8),2,IF(ISBLANK(H8),0,1))</f>
        <v>2</v>
      </c>
      <c r="L8" s="242">
        <f aca="true" t="shared" si="2" ref="L8:L39">IF(I8="СК",1,0)</f>
        <v>0</v>
      </c>
      <c r="M8" s="242">
        <f aca="true" t="shared" si="3" ref="M8:M39">IF(J8="СК",1,0)*(1-L8)</f>
        <v>0</v>
      </c>
      <c r="N8" s="243"/>
      <c r="O8" s="244">
        <f aca="true" t="shared" si="4" ref="O8:O39">LEN(C8)</f>
        <v>0</v>
      </c>
      <c r="P8" s="244">
        <f aca="true" t="shared" si="5" ref="P8:P39">IF((O8)=0,0,FIND(" ",C8))</f>
        <v>0</v>
      </c>
      <c r="Q8" s="244">
        <f aca="true" t="shared" si="6" ref="Q8:Q39">IF(OR(ISERR(P8),O8=0),"",CONCATENATE(MID(C8,P8+1,1),"."))</f>
      </c>
      <c r="R8" s="244">
        <f aca="true" t="shared" si="7" ref="R8:R39">IF(LEN(C8)=0,0,FIND(" ",C8,P8+1))</f>
        <v>0</v>
      </c>
      <c r="S8" s="244">
        <f aca="true" t="shared" si="8" ref="S8:S39">IF(OR(O8=0,ISERR(R8)),"",CONCATENATE(MID(C8,R8+1,1),"."))</f>
      </c>
      <c r="T8" s="244">
        <f aca="true" t="shared" si="9" ref="T8:T39">IF(C8="","",IF(ISERR(P8),UPPER(C8),UPPER(MID(C8,1,P8-1))))</f>
      </c>
      <c r="U8" s="244">
        <f aca="true" t="shared" si="10" ref="U8:U39">CONCATENATE(Q8,S8)</f>
      </c>
    </row>
    <row r="9" spans="1:21" s="43" customFormat="1" ht="12.75">
      <c r="A9" s="156">
        <f t="shared" si="0"/>
        <v>2</v>
      </c>
      <c r="B9" s="543"/>
      <c r="C9" s="548"/>
      <c r="D9" s="163"/>
      <c r="E9" s="544"/>
      <c r="F9" s="163"/>
      <c r="G9" s="163"/>
      <c r="H9" s="545"/>
      <c r="I9" s="546"/>
      <c r="J9" s="505"/>
      <c r="K9" s="241">
        <f t="shared" si="1"/>
        <v>2</v>
      </c>
      <c r="L9" s="242">
        <f t="shared" si="2"/>
        <v>0</v>
      </c>
      <c r="M9" s="242">
        <f t="shared" si="3"/>
        <v>0</v>
      </c>
      <c r="N9" s="243"/>
      <c r="O9" s="244">
        <f t="shared" si="4"/>
        <v>0</v>
      </c>
      <c r="P9" s="244">
        <f t="shared" si="5"/>
        <v>0</v>
      </c>
      <c r="Q9" s="244">
        <f t="shared" si="6"/>
      </c>
      <c r="R9" s="244">
        <f t="shared" si="7"/>
        <v>0</v>
      </c>
      <c r="S9" s="244">
        <f t="shared" si="8"/>
      </c>
      <c r="T9" s="244">
        <f t="shared" si="9"/>
      </c>
      <c r="U9" s="244">
        <f t="shared" si="10"/>
      </c>
    </row>
    <row r="10" spans="1:21" s="43" customFormat="1" ht="12.75">
      <c r="A10" s="156">
        <f t="shared" si="0"/>
        <v>3</v>
      </c>
      <c r="B10" s="543"/>
      <c r="C10" s="548"/>
      <c r="D10" s="163"/>
      <c r="E10" s="544"/>
      <c r="F10" s="163"/>
      <c r="G10" s="163"/>
      <c r="H10" s="545"/>
      <c r="I10" s="546"/>
      <c r="J10" s="505"/>
      <c r="K10" s="241">
        <f t="shared" si="1"/>
        <v>2</v>
      </c>
      <c r="L10" s="242">
        <f t="shared" si="2"/>
        <v>0</v>
      </c>
      <c r="M10" s="242">
        <f t="shared" si="3"/>
        <v>0</v>
      </c>
      <c r="N10" s="243"/>
      <c r="O10" s="244">
        <f t="shared" si="4"/>
        <v>0</v>
      </c>
      <c r="P10" s="244">
        <f t="shared" si="5"/>
        <v>0</v>
      </c>
      <c r="Q10" s="244">
        <f t="shared" si="6"/>
      </c>
      <c r="R10" s="244">
        <f t="shared" si="7"/>
        <v>0</v>
      </c>
      <c r="S10" s="244">
        <f t="shared" si="8"/>
      </c>
      <c r="T10" s="244">
        <f t="shared" si="9"/>
      </c>
      <c r="U10" s="244">
        <f t="shared" si="10"/>
      </c>
    </row>
    <row r="11" spans="1:21" s="43" customFormat="1" ht="12.75">
      <c r="A11" s="156">
        <f t="shared" si="0"/>
        <v>4</v>
      </c>
      <c r="B11" s="543"/>
      <c r="C11" s="548"/>
      <c r="D11" s="163"/>
      <c r="E11" s="544"/>
      <c r="F11" s="163"/>
      <c r="G11" s="163"/>
      <c r="H11" s="545"/>
      <c r="I11" s="546"/>
      <c r="J11" s="505"/>
      <c r="K11" s="241">
        <f t="shared" si="1"/>
        <v>2</v>
      </c>
      <c r="L11" s="242">
        <f t="shared" si="2"/>
        <v>0</v>
      </c>
      <c r="M11" s="242">
        <f t="shared" si="3"/>
        <v>0</v>
      </c>
      <c r="N11" s="243"/>
      <c r="O11" s="244">
        <f t="shared" si="4"/>
        <v>0</v>
      </c>
      <c r="P11" s="244">
        <f t="shared" si="5"/>
        <v>0</v>
      </c>
      <c r="Q11" s="244">
        <f t="shared" si="6"/>
      </c>
      <c r="R11" s="244">
        <f t="shared" si="7"/>
        <v>0</v>
      </c>
      <c r="S11" s="244">
        <f t="shared" si="8"/>
      </c>
      <c r="T11" s="244">
        <f t="shared" si="9"/>
      </c>
      <c r="U11" s="244">
        <f t="shared" si="10"/>
      </c>
    </row>
    <row r="12" spans="1:21" s="43" customFormat="1" ht="12.75">
      <c r="A12" s="156">
        <f t="shared" si="0"/>
        <v>5</v>
      </c>
      <c r="B12" s="543"/>
      <c r="C12" s="548"/>
      <c r="D12" s="163"/>
      <c r="E12" s="544"/>
      <c r="F12" s="163"/>
      <c r="G12" s="163"/>
      <c r="H12" s="545"/>
      <c r="I12" s="546"/>
      <c r="J12" s="505"/>
      <c r="K12" s="241">
        <f t="shared" si="1"/>
        <v>2</v>
      </c>
      <c r="L12" s="242">
        <f t="shared" si="2"/>
        <v>0</v>
      </c>
      <c r="M12" s="242">
        <f t="shared" si="3"/>
        <v>0</v>
      </c>
      <c r="N12" s="243"/>
      <c r="O12" s="244">
        <f t="shared" si="4"/>
        <v>0</v>
      </c>
      <c r="P12" s="244">
        <f t="shared" si="5"/>
        <v>0</v>
      </c>
      <c r="Q12" s="244">
        <f t="shared" si="6"/>
      </c>
      <c r="R12" s="244">
        <f t="shared" si="7"/>
        <v>0</v>
      </c>
      <c r="S12" s="244">
        <f t="shared" si="8"/>
      </c>
      <c r="T12" s="244">
        <f t="shared" si="9"/>
      </c>
      <c r="U12" s="244">
        <f t="shared" si="10"/>
      </c>
    </row>
    <row r="13" spans="1:21" s="43" customFormat="1" ht="12.75">
      <c r="A13" s="156">
        <f t="shared" si="0"/>
        <v>6</v>
      </c>
      <c r="B13" s="543"/>
      <c r="C13" s="548"/>
      <c r="D13" s="163"/>
      <c r="E13" s="544"/>
      <c r="F13" s="163"/>
      <c r="G13" s="163"/>
      <c r="H13" s="545"/>
      <c r="I13" s="546"/>
      <c r="J13" s="505"/>
      <c r="K13" s="241">
        <f t="shared" si="1"/>
        <v>2</v>
      </c>
      <c r="L13" s="242">
        <f t="shared" si="2"/>
        <v>0</v>
      </c>
      <c r="M13" s="242">
        <f t="shared" si="3"/>
        <v>0</v>
      </c>
      <c r="N13" s="243"/>
      <c r="O13" s="244">
        <f t="shared" si="4"/>
        <v>0</v>
      </c>
      <c r="P13" s="244">
        <f t="shared" si="5"/>
        <v>0</v>
      </c>
      <c r="Q13" s="244">
        <f t="shared" si="6"/>
      </c>
      <c r="R13" s="244">
        <f t="shared" si="7"/>
        <v>0</v>
      </c>
      <c r="S13" s="244">
        <f t="shared" si="8"/>
      </c>
      <c r="T13" s="244">
        <f t="shared" si="9"/>
      </c>
      <c r="U13" s="244">
        <f t="shared" si="10"/>
      </c>
    </row>
    <row r="14" spans="1:21" s="43" customFormat="1" ht="12.75">
      <c r="A14" s="156">
        <f t="shared" si="0"/>
        <v>7</v>
      </c>
      <c r="B14" s="543"/>
      <c r="C14" s="548"/>
      <c r="D14" s="163"/>
      <c r="E14" s="544"/>
      <c r="F14" s="163"/>
      <c r="G14" s="163"/>
      <c r="H14" s="545"/>
      <c r="I14" s="546"/>
      <c r="J14" s="505"/>
      <c r="K14" s="241">
        <f t="shared" si="1"/>
        <v>2</v>
      </c>
      <c r="L14" s="242">
        <f t="shared" si="2"/>
        <v>0</v>
      </c>
      <c r="M14" s="242">
        <f t="shared" si="3"/>
        <v>0</v>
      </c>
      <c r="N14" s="243"/>
      <c r="O14" s="244">
        <f t="shared" si="4"/>
        <v>0</v>
      </c>
      <c r="P14" s="244">
        <f t="shared" si="5"/>
        <v>0</v>
      </c>
      <c r="Q14" s="244">
        <f t="shared" si="6"/>
      </c>
      <c r="R14" s="244">
        <f t="shared" si="7"/>
        <v>0</v>
      </c>
      <c r="S14" s="244">
        <f t="shared" si="8"/>
      </c>
      <c r="T14" s="244">
        <f t="shared" si="9"/>
      </c>
      <c r="U14" s="244">
        <f t="shared" si="10"/>
      </c>
    </row>
    <row r="15" spans="1:25" s="43" customFormat="1" ht="12.75">
      <c r="A15" s="156">
        <f t="shared" si="0"/>
        <v>8</v>
      </c>
      <c r="B15" s="543"/>
      <c r="C15" s="548"/>
      <c r="D15" s="163"/>
      <c r="E15" s="544"/>
      <c r="F15" s="163"/>
      <c r="G15" s="163"/>
      <c r="H15" s="545"/>
      <c r="I15" s="546"/>
      <c r="J15" s="505"/>
      <c r="K15" s="241">
        <f t="shared" si="1"/>
        <v>2</v>
      </c>
      <c r="L15" s="242">
        <f t="shared" si="2"/>
        <v>0</v>
      </c>
      <c r="M15" s="242">
        <f t="shared" si="3"/>
        <v>0</v>
      </c>
      <c r="N15" s="243"/>
      <c r="O15" s="244">
        <f t="shared" si="4"/>
        <v>0</v>
      </c>
      <c r="P15" s="244">
        <f t="shared" si="5"/>
        <v>0</v>
      </c>
      <c r="Q15" s="244">
        <f t="shared" si="6"/>
      </c>
      <c r="R15" s="244">
        <f t="shared" si="7"/>
        <v>0</v>
      </c>
      <c r="S15" s="244">
        <f t="shared" si="8"/>
      </c>
      <c r="T15" s="244">
        <f t="shared" si="9"/>
      </c>
      <c r="U15" s="244">
        <f t="shared" si="10"/>
      </c>
      <c r="Y15" s="268"/>
    </row>
    <row r="16" spans="1:21" s="43" customFormat="1" ht="12.75">
      <c r="A16" s="156">
        <f t="shared" si="0"/>
        <v>9</v>
      </c>
      <c r="B16" s="543"/>
      <c r="C16" s="548"/>
      <c r="D16" s="163"/>
      <c r="E16" s="544"/>
      <c r="F16" s="163"/>
      <c r="G16" s="163"/>
      <c r="H16" s="545"/>
      <c r="I16" s="546"/>
      <c r="J16" s="505"/>
      <c r="K16" s="241">
        <f t="shared" si="1"/>
        <v>2</v>
      </c>
      <c r="L16" s="242">
        <f t="shared" si="2"/>
        <v>0</v>
      </c>
      <c r="M16" s="242">
        <f t="shared" si="3"/>
        <v>0</v>
      </c>
      <c r="N16" s="243"/>
      <c r="O16" s="244">
        <f t="shared" si="4"/>
        <v>0</v>
      </c>
      <c r="P16" s="244">
        <f t="shared" si="5"/>
        <v>0</v>
      </c>
      <c r="Q16" s="244">
        <f t="shared" si="6"/>
      </c>
      <c r="R16" s="244">
        <f t="shared" si="7"/>
        <v>0</v>
      </c>
      <c r="S16" s="244">
        <f t="shared" si="8"/>
      </c>
      <c r="T16" s="244">
        <f t="shared" si="9"/>
      </c>
      <c r="U16" s="244">
        <f t="shared" si="10"/>
      </c>
    </row>
    <row r="17" spans="1:21" s="43" customFormat="1" ht="12.75">
      <c r="A17" s="156">
        <f t="shared" si="0"/>
        <v>10</v>
      </c>
      <c r="B17" s="543"/>
      <c r="C17" s="548"/>
      <c r="D17" s="163"/>
      <c r="E17" s="544"/>
      <c r="F17" s="163"/>
      <c r="G17" s="163"/>
      <c r="H17" s="545"/>
      <c r="I17" s="546"/>
      <c r="J17" s="505"/>
      <c r="K17" s="241">
        <f t="shared" si="1"/>
        <v>2</v>
      </c>
      <c r="L17" s="242">
        <f t="shared" si="2"/>
        <v>0</v>
      </c>
      <c r="M17" s="242">
        <f t="shared" si="3"/>
        <v>0</v>
      </c>
      <c r="N17" s="243"/>
      <c r="O17" s="244">
        <f t="shared" si="4"/>
        <v>0</v>
      </c>
      <c r="P17" s="244">
        <f t="shared" si="5"/>
        <v>0</v>
      </c>
      <c r="Q17" s="244">
        <f t="shared" si="6"/>
      </c>
      <c r="R17" s="244">
        <f t="shared" si="7"/>
        <v>0</v>
      </c>
      <c r="S17" s="244">
        <f t="shared" si="8"/>
      </c>
      <c r="T17" s="244">
        <f t="shared" si="9"/>
      </c>
      <c r="U17" s="244">
        <f t="shared" si="10"/>
      </c>
    </row>
    <row r="18" spans="1:21" s="43" customFormat="1" ht="12.75">
      <c r="A18" s="156">
        <f t="shared" si="0"/>
        <v>11</v>
      </c>
      <c r="B18" s="543"/>
      <c r="C18" s="548"/>
      <c r="D18" s="163"/>
      <c r="E18" s="544"/>
      <c r="F18" s="163"/>
      <c r="G18" s="163"/>
      <c r="H18" s="545"/>
      <c r="I18" s="546"/>
      <c r="J18" s="505"/>
      <c r="K18" s="241">
        <f t="shared" si="1"/>
        <v>2</v>
      </c>
      <c r="L18" s="242">
        <f t="shared" si="2"/>
        <v>0</v>
      </c>
      <c r="M18" s="242">
        <f t="shared" si="3"/>
        <v>0</v>
      </c>
      <c r="N18" s="243"/>
      <c r="O18" s="244">
        <f t="shared" si="4"/>
        <v>0</v>
      </c>
      <c r="P18" s="244">
        <f t="shared" si="5"/>
        <v>0</v>
      </c>
      <c r="Q18" s="244">
        <f t="shared" si="6"/>
      </c>
      <c r="R18" s="244">
        <f t="shared" si="7"/>
        <v>0</v>
      </c>
      <c r="S18" s="244">
        <f t="shared" si="8"/>
      </c>
      <c r="T18" s="244">
        <f t="shared" si="9"/>
      </c>
      <c r="U18" s="244">
        <f t="shared" si="10"/>
      </c>
    </row>
    <row r="19" spans="1:21" s="43" customFormat="1" ht="12.75">
      <c r="A19" s="156">
        <f t="shared" si="0"/>
        <v>12</v>
      </c>
      <c r="B19" s="543"/>
      <c r="C19" s="548"/>
      <c r="D19" s="163"/>
      <c r="E19" s="544"/>
      <c r="F19" s="163"/>
      <c r="G19" s="163"/>
      <c r="H19" s="545"/>
      <c r="I19" s="546"/>
      <c r="J19" s="505"/>
      <c r="K19" s="241">
        <f t="shared" si="1"/>
        <v>2</v>
      </c>
      <c r="L19" s="242">
        <f t="shared" si="2"/>
        <v>0</v>
      </c>
      <c r="M19" s="242">
        <f t="shared" si="3"/>
        <v>0</v>
      </c>
      <c r="N19" s="243"/>
      <c r="O19" s="244">
        <f t="shared" si="4"/>
        <v>0</v>
      </c>
      <c r="P19" s="244">
        <f t="shared" si="5"/>
        <v>0</v>
      </c>
      <c r="Q19" s="244">
        <f t="shared" si="6"/>
      </c>
      <c r="R19" s="244">
        <f t="shared" si="7"/>
        <v>0</v>
      </c>
      <c r="S19" s="244">
        <f t="shared" si="8"/>
      </c>
      <c r="T19" s="244">
        <f t="shared" si="9"/>
      </c>
      <c r="U19" s="244">
        <f t="shared" si="10"/>
      </c>
    </row>
    <row r="20" spans="1:21" s="43" customFormat="1" ht="12.75">
      <c r="A20" s="156">
        <f t="shared" si="0"/>
        <v>13</v>
      </c>
      <c r="B20" s="543"/>
      <c r="C20" s="548"/>
      <c r="D20" s="163"/>
      <c r="E20" s="544"/>
      <c r="F20" s="163"/>
      <c r="G20" s="163"/>
      <c r="H20" s="545"/>
      <c r="I20" s="546"/>
      <c r="J20" s="505"/>
      <c r="K20" s="241">
        <f t="shared" si="1"/>
        <v>2</v>
      </c>
      <c r="L20" s="242">
        <f t="shared" si="2"/>
        <v>0</v>
      </c>
      <c r="M20" s="242">
        <f t="shared" si="3"/>
        <v>0</v>
      </c>
      <c r="N20" s="243"/>
      <c r="O20" s="244">
        <f t="shared" si="4"/>
        <v>0</v>
      </c>
      <c r="P20" s="244">
        <f t="shared" si="5"/>
        <v>0</v>
      </c>
      <c r="Q20" s="244">
        <f t="shared" si="6"/>
      </c>
      <c r="R20" s="244">
        <f t="shared" si="7"/>
        <v>0</v>
      </c>
      <c r="S20" s="244">
        <f t="shared" si="8"/>
      </c>
      <c r="T20" s="244">
        <f t="shared" si="9"/>
      </c>
      <c r="U20" s="244">
        <f t="shared" si="10"/>
      </c>
    </row>
    <row r="21" spans="1:21" s="43" customFormat="1" ht="12.75">
      <c r="A21" s="156">
        <f t="shared" si="0"/>
        <v>14</v>
      </c>
      <c r="B21" s="543"/>
      <c r="C21" s="548"/>
      <c r="D21" s="163"/>
      <c r="E21" s="544"/>
      <c r="F21" s="163"/>
      <c r="G21" s="163"/>
      <c r="H21" s="545"/>
      <c r="I21" s="546"/>
      <c r="J21" s="505"/>
      <c r="K21" s="241">
        <f t="shared" si="1"/>
        <v>2</v>
      </c>
      <c r="L21" s="242">
        <f t="shared" si="2"/>
        <v>0</v>
      </c>
      <c r="M21" s="242">
        <f t="shared" si="3"/>
        <v>0</v>
      </c>
      <c r="N21" s="243"/>
      <c r="O21" s="244">
        <f t="shared" si="4"/>
        <v>0</v>
      </c>
      <c r="P21" s="244">
        <f t="shared" si="5"/>
        <v>0</v>
      </c>
      <c r="Q21" s="244">
        <f t="shared" si="6"/>
      </c>
      <c r="R21" s="244">
        <f t="shared" si="7"/>
        <v>0</v>
      </c>
      <c r="S21" s="244">
        <f t="shared" si="8"/>
      </c>
      <c r="T21" s="244">
        <f t="shared" si="9"/>
      </c>
      <c r="U21" s="244">
        <f t="shared" si="10"/>
      </c>
    </row>
    <row r="22" spans="1:21" s="43" customFormat="1" ht="12.75">
      <c r="A22" s="156">
        <f t="shared" si="0"/>
        <v>15</v>
      </c>
      <c r="B22" s="543"/>
      <c r="C22" s="548"/>
      <c r="D22" s="163"/>
      <c r="E22" s="544"/>
      <c r="F22" s="163"/>
      <c r="G22" s="163"/>
      <c r="H22" s="545"/>
      <c r="I22" s="546"/>
      <c r="J22" s="505"/>
      <c r="K22" s="241">
        <f t="shared" si="1"/>
        <v>2</v>
      </c>
      <c r="L22" s="242">
        <f t="shared" si="2"/>
        <v>0</v>
      </c>
      <c r="M22" s="242">
        <f t="shared" si="3"/>
        <v>0</v>
      </c>
      <c r="N22" s="243"/>
      <c r="O22" s="244">
        <f t="shared" si="4"/>
        <v>0</v>
      </c>
      <c r="P22" s="244">
        <f t="shared" si="5"/>
        <v>0</v>
      </c>
      <c r="Q22" s="244">
        <f t="shared" si="6"/>
      </c>
      <c r="R22" s="244">
        <f t="shared" si="7"/>
        <v>0</v>
      </c>
      <c r="S22" s="244">
        <f t="shared" si="8"/>
      </c>
      <c r="T22" s="244">
        <f t="shared" si="9"/>
      </c>
      <c r="U22" s="244">
        <f t="shared" si="10"/>
      </c>
    </row>
    <row r="23" spans="1:21" s="43" customFormat="1" ht="12.75">
      <c r="A23" s="156">
        <f t="shared" si="0"/>
        <v>16</v>
      </c>
      <c r="B23" s="543"/>
      <c r="C23" s="548"/>
      <c r="D23" s="163"/>
      <c r="E23" s="544"/>
      <c r="F23" s="163"/>
      <c r="G23" s="163"/>
      <c r="H23" s="545"/>
      <c r="I23" s="546"/>
      <c r="J23" s="505"/>
      <c r="K23" s="241">
        <f t="shared" si="1"/>
        <v>2</v>
      </c>
      <c r="L23" s="242">
        <f t="shared" si="2"/>
        <v>0</v>
      </c>
      <c r="M23" s="242">
        <f t="shared" si="3"/>
        <v>0</v>
      </c>
      <c r="N23" s="243"/>
      <c r="O23" s="244">
        <f t="shared" si="4"/>
        <v>0</v>
      </c>
      <c r="P23" s="244">
        <f t="shared" si="5"/>
        <v>0</v>
      </c>
      <c r="Q23" s="244">
        <f t="shared" si="6"/>
      </c>
      <c r="R23" s="244">
        <f t="shared" si="7"/>
        <v>0</v>
      </c>
      <c r="S23" s="244">
        <f t="shared" si="8"/>
      </c>
      <c r="T23" s="244">
        <f t="shared" si="9"/>
      </c>
      <c r="U23" s="244">
        <f t="shared" si="10"/>
      </c>
    </row>
    <row r="24" spans="1:21" s="43" customFormat="1" ht="12.75">
      <c r="A24" s="156">
        <f t="shared" si="0"/>
        <v>17</v>
      </c>
      <c r="B24" s="543"/>
      <c r="C24" s="548"/>
      <c r="D24" s="163"/>
      <c r="E24" s="544"/>
      <c r="F24" s="163"/>
      <c r="G24" s="163"/>
      <c r="H24" s="545"/>
      <c r="I24" s="546"/>
      <c r="J24" s="505"/>
      <c r="K24" s="241">
        <f t="shared" si="1"/>
        <v>2</v>
      </c>
      <c r="L24" s="242">
        <f t="shared" si="2"/>
        <v>0</v>
      </c>
      <c r="M24" s="242">
        <f t="shared" si="3"/>
        <v>0</v>
      </c>
      <c r="N24" s="243"/>
      <c r="O24" s="244">
        <f t="shared" si="4"/>
        <v>0</v>
      </c>
      <c r="P24" s="244">
        <f t="shared" si="5"/>
        <v>0</v>
      </c>
      <c r="Q24" s="244">
        <f t="shared" si="6"/>
      </c>
      <c r="R24" s="244">
        <f t="shared" si="7"/>
        <v>0</v>
      </c>
      <c r="S24" s="244">
        <f t="shared" si="8"/>
      </c>
      <c r="T24" s="244">
        <f t="shared" si="9"/>
      </c>
      <c r="U24" s="244">
        <f t="shared" si="10"/>
      </c>
    </row>
    <row r="25" spans="1:21" s="43" customFormat="1" ht="12.75">
      <c r="A25" s="156">
        <f t="shared" si="0"/>
        <v>18</v>
      </c>
      <c r="B25" s="543"/>
      <c r="C25" s="548"/>
      <c r="D25" s="163"/>
      <c r="E25" s="544"/>
      <c r="F25" s="163"/>
      <c r="G25" s="163"/>
      <c r="H25" s="545"/>
      <c r="I25" s="546"/>
      <c r="J25" s="505"/>
      <c r="K25" s="241">
        <f t="shared" si="1"/>
        <v>2</v>
      </c>
      <c r="L25" s="242">
        <f t="shared" si="2"/>
        <v>0</v>
      </c>
      <c r="M25" s="242">
        <f t="shared" si="3"/>
        <v>0</v>
      </c>
      <c r="N25" s="243"/>
      <c r="O25" s="244">
        <f t="shared" si="4"/>
        <v>0</v>
      </c>
      <c r="P25" s="244">
        <f t="shared" si="5"/>
        <v>0</v>
      </c>
      <c r="Q25" s="244">
        <f t="shared" si="6"/>
      </c>
      <c r="R25" s="244">
        <f t="shared" si="7"/>
        <v>0</v>
      </c>
      <c r="S25" s="244">
        <f t="shared" si="8"/>
      </c>
      <c r="T25" s="244">
        <f t="shared" si="9"/>
      </c>
      <c r="U25" s="244">
        <f t="shared" si="10"/>
      </c>
    </row>
    <row r="26" spans="1:21" s="43" customFormat="1" ht="12.75">
      <c r="A26" s="156">
        <f t="shared" si="0"/>
        <v>19</v>
      </c>
      <c r="B26" s="543"/>
      <c r="C26" s="548"/>
      <c r="D26" s="163"/>
      <c r="E26" s="544"/>
      <c r="F26" s="163"/>
      <c r="G26" s="163"/>
      <c r="H26" s="545"/>
      <c r="I26" s="546"/>
      <c r="J26" s="505"/>
      <c r="K26" s="241">
        <f t="shared" si="1"/>
        <v>2</v>
      </c>
      <c r="L26" s="242">
        <f t="shared" si="2"/>
        <v>0</v>
      </c>
      <c r="M26" s="242">
        <f t="shared" si="3"/>
        <v>0</v>
      </c>
      <c r="N26" s="243"/>
      <c r="O26" s="244">
        <f t="shared" si="4"/>
        <v>0</v>
      </c>
      <c r="P26" s="244">
        <f t="shared" si="5"/>
        <v>0</v>
      </c>
      <c r="Q26" s="244">
        <f t="shared" si="6"/>
      </c>
      <c r="R26" s="244">
        <f t="shared" si="7"/>
        <v>0</v>
      </c>
      <c r="S26" s="244">
        <f t="shared" si="8"/>
      </c>
      <c r="T26" s="244">
        <f t="shared" si="9"/>
      </c>
      <c r="U26" s="244">
        <f t="shared" si="10"/>
      </c>
    </row>
    <row r="27" spans="1:21" s="43" customFormat="1" ht="12.75">
      <c r="A27" s="156">
        <f t="shared" si="0"/>
        <v>20</v>
      </c>
      <c r="B27" s="543"/>
      <c r="C27" s="548"/>
      <c r="D27" s="163"/>
      <c r="E27" s="544"/>
      <c r="F27" s="163"/>
      <c r="G27" s="163"/>
      <c r="H27" s="545"/>
      <c r="I27" s="546"/>
      <c r="J27" s="505"/>
      <c r="K27" s="241">
        <f t="shared" si="1"/>
        <v>2</v>
      </c>
      <c r="L27" s="242">
        <f t="shared" si="2"/>
        <v>0</v>
      </c>
      <c r="M27" s="242">
        <f t="shared" si="3"/>
        <v>0</v>
      </c>
      <c r="N27" s="243"/>
      <c r="O27" s="244">
        <f t="shared" si="4"/>
        <v>0</v>
      </c>
      <c r="P27" s="244">
        <f t="shared" si="5"/>
        <v>0</v>
      </c>
      <c r="Q27" s="244">
        <f t="shared" si="6"/>
      </c>
      <c r="R27" s="244">
        <f t="shared" si="7"/>
        <v>0</v>
      </c>
      <c r="S27" s="244">
        <f t="shared" si="8"/>
      </c>
      <c r="T27" s="244">
        <f t="shared" si="9"/>
      </c>
      <c r="U27" s="244">
        <f t="shared" si="10"/>
      </c>
    </row>
    <row r="28" spans="1:21" s="43" customFormat="1" ht="12.75">
      <c r="A28" s="156">
        <f t="shared" si="0"/>
        <v>21</v>
      </c>
      <c r="B28" s="543"/>
      <c r="C28" s="548"/>
      <c r="D28" s="163"/>
      <c r="E28" s="544"/>
      <c r="F28" s="163"/>
      <c r="G28" s="163"/>
      <c r="H28" s="545"/>
      <c r="I28" s="546"/>
      <c r="J28" s="505"/>
      <c r="K28" s="241">
        <f t="shared" si="1"/>
        <v>2</v>
      </c>
      <c r="L28" s="242">
        <f t="shared" si="2"/>
        <v>0</v>
      </c>
      <c r="M28" s="242">
        <f t="shared" si="3"/>
        <v>0</v>
      </c>
      <c r="N28" s="243"/>
      <c r="O28" s="244">
        <f t="shared" si="4"/>
        <v>0</v>
      </c>
      <c r="P28" s="244">
        <f t="shared" si="5"/>
        <v>0</v>
      </c>
      <c r="Q28" s="244">
        <f t="shared" si="6"/>
      </c>
      <c r="R28" s="244">
        <f t="shared" si="7"/>
        <v>0</v>
      </c>
      <c r="S28" s="244">
        <f t="shared" si="8"/>
      </c>
      <c r="T28" s="244">
        <f t="shared" si="9"/>
      </c>
      <c r="U28" s="244">
        <f t="shared" si="10"/>
      </c>
    </row>
    <row r="29" spans="1:21" s="43" customFormat="1" ht="12.75">
      <c r="A29" s="156">
        <f t="shared" si="0"/>
        <v>22</v>
      </c>
      <c r="B29" s="543"/>
      <c r="C29" s="548"/>
      <c r="D29" s="163"/>
      <c r="E29" s="544"/>
      <c r="F29" s="163"/>
      <c r="G29" s="163"/>
      <c r="H29" s="545"/>
      <c r="I29" s="546"/>
      <c r="J29" s="505"/>
      <c r="K29" s="241">
        <f t="shared" si="1"/>
        <v>2</v>
      </c>
      <c r="L29" s="242">
        <f t="shared" si="2"/>
        <v>0</v>
      </c>
      <c r="M29" s="242">
        <f t="shared" si="3"/>
        <v>0</v>
      </c>
      <c r="N29" s="243"/>
      <c r="O29" s="244">
        <f t="shared" si="4"/>
        <v>0</v>
      </c>
      <c r="P29" s="244">
        <f t="shared" si="5"/>
        <v>0</v>
      </c>
      <c r="Q29" s="244">
        <f t="shared" si="6"/>
      </c>
      <c r="R29" s="244">
        <f t="shared" si="7"/>
        <v>0</v>
      </c>
      <c r="S29" s="244">
        <f t="shared" si="8"/>
      </c>
      <c r="T29" s="244">
        <f t="shared" si="9"/>
      </c>
      <c r="U29" s="244">
        <f t="shared" si="10"/>
      </c>
    </row>
    <row r="30" spans="1:21" s="43" customFormat="1" ht="12.75">
      <c r="A30" s="156">
        <f t="shared" si="0"/>
        <v>23</v>
      </c>
      <c r="B30" s="543"/>
      <c r="C30" s="548"/>
      <c r="D30" s="163"/>
      <c r="E30" s="544"/>
      <c r="F30" s="163"/>
      <c r="G30" s="163"/>
      <c r="H30" s="545"/>
      <c r="I30" s="546"/>
      <c r="J30" s="505"/>
      <c r="K30" s="241">
        <f t="shared" si="1"/>
        <v>2</v>
      </c>
      <c r="L30" s="242">
        <f t="shared" si="2"/>
        <v>0</v>
      </c>
      <c r="M30" s="242">
        <f t="shared" si="3"/>
        <v>0</v>
      </c>
      <c r="N30" s="243"/>
      <c r="O30" s="244">
        <f t="shared" si="4"/>
        <v>0</v>
      </c>
      <c r="P30" s="244">
        <f t="shared" si="5"/>
        <v>0</v>
      </c>
      <c r="Q30" s="244">
        <f t="shared" si="6"/>
      </c>
      <c r="R30" s="244">
        <f t="shared" si="7"/>
        <v>0</v>
      </c>
      <c r="S30" s="244">
        <f t="shared" si="8"/>
      </c>
      <c r="T30" s="244">
        <f t="shared" si="9"/>
      </c>
      <c r="U30" s="244">
        <f t="shared" si="10"/>
      </c>
    </row>
    <row r="31" spans="1:21" s="43" customFormat="1" ht="12.75">
      <c r="A31" s="156">
        <f t="shared" si="0"/>
        <v>24</v>
      </c>
      <c r="B31" s="543"/>
      <c r="C31" s="548"/>
      <c r="D31" s="163"/>
      <c r="E31" s="544"/>
      <c r="F31" s="163"/>
      <c r="G31" s="163"/>
      <c r="H31" s="545"/>
      <c r="I31" s="546"/>
      <c r="J31" s="505"/>
      <c r="K31" s="241">
        <f t="shared" si="1"/>
        <v>2</v>
      </c>
      <c r="L31" s="242">
        <f t="shared" si="2"/>
        <v>0</v>
      </c>
      <c r="M31" s="242">
        <f t="shared" si="3"/>
        <v>0</v>
      </c>
      <c r="N31" s="243"/>
      <c r="O31" s="244">
        <f t="shared" si="4"/>
        <v>0</v>
      </c>
      <c r="P31" s="244">
        <f t="shared" si="5"/>
        <v>0</v>
      </c>
      <c r="Q31" s="244">
        <f t="shared" si="6"/>
      </c>
      <c r="R31" s="244">
        <f t="shared" si="7"/>
        <v>0</v>
      </c>
      <c r="S31" s="244">
        <f t="shared" si="8"/>
      </c>
      <c r="T31" s="244">
        <f t="shared" si="9"/>
      </c>
      <c r="U31" s="244">
        <f t="shared" si="10"/>
      </c>
    </row>
    <row r="32" spans="1:21" s="43" customFormat="1" ht="12.75">
      <c r="A32" s="156">
        <f t="shared" si="0"/>
        <v>25</v>
      </c>
      <c r="B32" s="543"/>
      <c r="C32" s="548"/>
      <c r="D32" s="163"/>
      <c r="E32" s="544"/>
      <c r="F32" s="163"/>
      <c r="G32" s="163"/>
      <c r="H32" s="545"/>
      <c r="I32" s="546"/>
      <c r="J32" s="505"/>
      <c r="K32" s="241">
        <f t="shared" si="1"/>
        <v>2</v>
      </c>
      <c r="L32" s="242">
        <f t="shared" si="2"/>
        <v>0</v>
      </c>
      <c r="M32" s="242">
        <f t="shared" si="3"/>
        <v>0</v>
      </c>
      <c r="N32" s="243"/>
      <c r="O32" s="244">
        <f t="shared" si="4"/>
        <v>0</v>
      </c>
      <c r="P32" s="244">
        <f t="shared" si="5"/>
        <v>0</v>
      </c>
      <c r="Q32" s="244">
        <f t="shared" si="6"/>
      </c>
      <c r="R32" s="244">
        <f t="shared" si="7"/>
        <v>0</v>
      </c>
      <c r="S32" s="244">
        <f t="shared" si="8"/>
      </c>
      <c r="T32" s="244">
        <f t="shared" si="9"/>
      </c>
      <c r="U32" s="244">
        <f t="shared" si="10"/>
      </c>
    </row>
    <row r="33" spans="1:21" s="43" customFormat="1" ht="12.75">
      <c r="A33" s="156">
        <f t="shared" si="0"/>
        <v>26</v>
      </c>
      <c r="B33" s="543"/>
      <c r="C33" s="548"/>
      <c r="D33" s="163"/>
      <c r="E33" s="544"/>
      <c r="F33" s="163"/>
      <c r="G33" s="163"/>
      <c r="H33" s="545"/>
      <c r="I33" s="546"/>
      <c r="J33" s="505"/>
      <c r="K33" s="241">
        <f t="shared" si="1"/>
        <v>2</v>
      </c>
      <c r="L33" s="242">
        <f t="shared" si="2"/>
        <v>0</v>
      </c>
      <c r="M33" s="242">
        <f t="shared" si="3"/>
        <v>0</v>
      </c>
      <c r="N33" s="243"/>
      <c r="O33" s="244">
        <f t="shared" si="4"/>
        <v>0</v>
      </c>
      <c r="P33" s="244">
        <f t="shared" si="5"/>
        <v>0</v>
      </c>
      <c r="Q33" s="244">
        <f t="shared" si="6"/>
      </c>
      <c r="R33" s="244">
        <f t="shared" si="7"/>
        <v>0</v>
      </c>
      <c r="S33" s="244">
        <f t="shared" si="8"/>
      </c>
      <c r="T33" s="244">
        <f t="shared" si="9"/>
      </c>
      <c r="U33" s="244">
        <f t="shared" si="10"/>
      </c>
    </row>
    <row r="34" spans="1:21" s="43" customFormat="1" ht="12.75">
      <c r="A34" s="156">
        <f t="shared" si="0"/>
        <v>27</v>
      </c>
      <c r="B34" s="543"/>
      <c r="C34" s="548"/>
      <c r="D34" s="163"/>
      <c r="E34" s="544"/>
      <c r="F34" s="163"/>
      <c r="G34" s="163"/>
      <c r="H34" s="545"/>
      <c r="I34" s="546"/>
      <c r="J34" s="505"/>
      <c r="K34" s="241">
        <f t="shared" si="1"/>
        <v>2</v>
      </c>
      <c r="L34" s="242">
        <f t="shared" si="2"/>
        <v>0</v>
      </c>
      <c r="M34" s="242">
        <f t="shared" si="3"/>
        <v>0</v>
      </c>
      <c r="N34" s="243"/>
      <c r="O34" s="244">
        <f t="shared" si="4"/>
        <v>0</v>
      </c>
      <c r="P34" s="244">
        <f t="shared" si="5"/>
        <v>0</v>
      </c>
      <c r="Q34" s="244">
        <f t="shared" si="6"/>
      </c>
      <c r="R34" s="244">
        <f t="shared" si="7"/>
        <v>0</v>
      </c>
      <c r="S34" s="244">
        <f t="shared" si="8"/>
      </c>
      <c r="T34" s="244">
        <f t="shared" si="9"/>
      </c>
      <c r="U34" s="244">
        <f t="shared" si="10"/>
      </c>
    </row>
    <row r="35" spans="1:21" s="43" customFormat="1" ht="12.75">
      <c r="A35" s="156">
        <f t="shared" si="0"/>
        <v>28</v>
      </c>
      <c r="B35" s="543"/>
      <c r="C35" s="548"/>
      <c r="D35" s="163"/>
      <c r="E35" s="544"/>
      <c r="F35" s="163"/>
      <c r="G35" s="163"/>
      <c r="H35" s="545"/>
      <c r="I35" s="546"/>
      <c r="J35" s="505"/>
      <c r="K35" s="241">
        <f t="shared" si="1"/>
        <v>2</v>
      </c>
      <c r="L35" s="242">
        <f t="shared" si="2"/>
        <v>0</v>
      </c>
      <c r="M35" s="242">
        <f t="shared" si="3"/>
        <v>0</v>
      </c>
      <c r="N35" s="243"/>
      <c r="O35" s="244">
        <f t="shared" si="4"/>
        <v>0</v>
      </c>
      <c r="P35" s="244">
        <f t="shared" si="5"/>
        <v>0</v>
      </c>
      <c r="Q35" s="244">
        <f t="shared" si="6"/>
      </c>
      <c r="R35" s="244">
        <f t="shared" si="7"/>
        <v>0</v>
      </c>
      <c r="S35" s="244">
        <f t="shared" si="8"/>
      </c>
      <c r="T35" s="244">
        <f t="shared" si="9"/>
      </c>
      <c r="U35" s="244">
        <f t="shared" si="10"/>
      </c>
    </row>
    <row r="36" spans="1:21" s="43" customFormat="1" ht="12.75">
      <c r="A36" s="156">
        <f t="shared" si="0"/>
        <v>29</v>
      </c>
      <c r="B36" s="543"/>
      <c r="C36" s="548"/>
      <c r="D36" s="163"/>
      <c r="E36" s="544"/>
      <c r="F36" s="163"/>
      <c r="G36" s="163"/>
      <c r="H36" s="545"/>
      <c r="I36" s="546"/>
      <c r="J36" s="505"/>
      <c r="K36" s="241">
        <f t="shared" si="1"/>
        <v>2</v>
      </c>
      <c r="L36" s="242">
        <f t="shared" si="2"/>
        <v>0</v>
      </c>
      <c r="M36" s="242">
        <f t="shared" si="3"/>
        <v>0</v>
      </c>
      <c r="N36" s="243"/>
      <c r="O36" s="244">
        <f t="shared" si="4"/>
        <v>0</v>
      </c>
      <c r="P36" s="244">
        <f t="shared" si="5"/>
        <v>0</v>
      </c>
      <c r="Q36" s="244">
        <f t="shared" si="6"/>
      </c>
      <c r="R36" s="244">
        <f t="shared" si="7"/>
        <v>0</v>
      </c>
      <c r="S36" s="244">
        <f t="shared" si="8"/>
      </c>
      <c r="T36" s="244">
        <f t="shared" si="9"/>
      </c>
      <c r="U36" s="244">
        <f t="shared" si="10"/>
      </c>
    </row>
    <row r="37" spans="1:21" s="43" customFormat="1" ht="12.75">
      <c r="A37" s="156">
        <f t="shared" si="0"/>
        <v>30</v>
      </c>
      <c r="B37" s="543"/>
      <c r="C37" s="548"/>
      <c r="D37" s="163"/>
      <c r="E37" s="544"/>
      <c r="F37" s="163"/>
      <c r="G37" s="163"/>
      <c r="H37" s="545"/>
      <c r="I37" s="546"/>
      <c r="J37" s="505"/>
      <c r="K37" s="241">
        <f t="shared" si="1"/>
        <v>2</v>
      </c>
      <c r="L37" s="242">
        <f t="shared" si="2"/>
        <v>0</v>
      </c>
      <c r="M37" s="242">
        <f t="shared" si="3"/>
        <v>0</v>
      </c>
      <c r="N37" s="243"/>
      <c r="O37" s="244">
        <f t="shared" si="4"/>
        <v>0</v>
      </c>
      <c r="P37" s="244">
        <f t="shared" si="5"/>
        <v>0</v>
      </c>
      <c r="Q37" s="244">
        <f t="shared" si="6"/>
      </c>
      <c r="R37" s="244">
        <f t="shared" si="7"/>
        <v>0</v>
      </c>
      <c r="S37" s="244">
        <f t="shared" si="8"/>
      </c>
      <c r="T37" s="244">
        <f t="shared" si="9"/>
      </c>
      <c r="U37" s="244">
        <f t="shared" si="10"/>
      </c>
    </row>
    <row r="38" spans="1:21" s="43" customFormat="1" ht="12.75">
      <c r="A38" s="156">
        <f t="shared" si="0"/>
        <v>31</v>
      </c>
      <c r="B38" s="543"/>
      <c r="C38" s="548"/>
      <c r="D38" s="163"/>
      <c r="E38" s="544"/>
      <c r="F38" s="163"/>
      <c r="G38" s="163"/>
      <c r="H38" s="545"/>
      <c r="I38" s="546"/>
      <c r="J38" s="505"/>
      <c r="K38" s="241">
        <f t="shared" si="1"/>
        <v>2</v>
      </c>
      <c r="L38" s="242">
        <f t="shared" si="2"/>
        <v>0</v>
      </c>
      <c r="M38" s="242">
        <f t="shared" si="3"/>
        <v>0</v>
      </c>
      <c r="N38" s="243"/>
      <c r="O38" s="244">
        <f t="shared" si="4"/>
        <v>0</v>
      </c>
      <c r="P38" s="244">
        <f t="shared" si="5"/>
        <v>0</v>
      </c>
      <c r="Q38" s="244">
        <f t="shared" si="6"/>
      </c>
      <c r="R38" s="244">
        <f t="shared" si="7"/>
        <v>0</v>
      </c>
      <c r="S38" s="244">
        <f t="shared" si="8"/>
      </c>
      <c r="T38" s="244">
        <f t="shared" si="9"/>
      </c>
      <c r="U38" s="244">
        <f t="shared" si="10"/>
      </c>
    </row>
    <row r="39" spans="1:21" s="43" customFormat="1" ht="12.75">
      <c r="A39" s="156">
        <f aca="true" t="shared" si="11" ref="A39:A70">ROW()-7</f>
        <v>32</v>
      </c>
      <c r="B39" s="543"/>
      <c r="C39" s="548"/>
      <c r="D39" s="163"/>
      <c r="E39" s="544"/>
      <c r="F39" s="163"/>
      <c r="G39" s="163"/>
      <c r="H39" s="545"/>
      <c r="I39" s="546"/>
      <c r="J39" s="505"/>
      <c r="K39" s="241">
        <f t="shared" si="1"/>
        <v>2</v>
      </c>
      <c r="L39" s="242">
        <f t="shared" si="2"/>
        <v>0</v>
      </c>
      <c r="M39" s="242">
        <f t="shared" si="3"/>
        <v>0</v>
      </c>
      <c r="N39" s="243"/>
      <c r="O39" s="244">
        <f t="shared" si="4"/>
        <v>0</v>
      </c>
      <c r="P39" s="244">
        <f t="shared" si="5"/>
        <v>0</v>
      </c>
      <c r="Q39" s="244">
        <f t="shared" si="6"/>
      </c>
      <c r="R39" s="244">
        <f t="shared" si="7"/>
        <v>0</v>
      </c>
      <c r="S39" s="244">
        <f t="shared" si="8"/>
      </c>
      <c r="T39" s="244">
        <f t="shared" si="9"/>
      </c>
      <c r="U39" s="244">
        <f t="shared" si="10"/>
      </c>
    </row>
    <row r="40" spans="1:21" s="43" customFormat="1" ht="12.75">
      <c r="A40" s="156">
        <f t="shared" si="11"/>
        <v>33</v>
      </c>
      <c r="B40" s="543"/>
      <c r="C40" s="548"/>
      <c r="D40" s="163"/>
      <c r="E40" s="544"/>
      <c r="F40" s="163"/>
      <c r="G40" s="163"/>
      <c r="H40" s="545"/>
      <c r="I40" s="546"/>
      <c r="J40" s="505"/>
      <c r="K40" s="241">
        <f aca="true" t="shared" si="12" ref="K40:K72">IF(ISBLANK(C40),2,IF(ISBLANK(H40),0,1))</f>
        <v>2</v>
      </c>
      <c r="L40" s="242">
        <f aca="true" t="shared" si="13" ref="L40:L72">IF(I40="СК",1,0)</f>
        <v>0</v>
      </c>
      <c r="M40" s="242">
        <f aca="true" t="shared" si="14" ref="M40:M71">IF(J40="СК",1,0)*(1-L40)</f>
        <v>0</v>
      </c>
      <c r="N40" s="243"/>
      <c r="O40" s="244">
        <f aca="true" t="shared" si="15" ref="O40:O72">LEN(C40)</f>
        <v>0</v>
      </c>
      <c r="P40" s="244">
        <f aca="true" t="shared" si="16" ref="P40:P71">IF((O40)=0,0,FIND(" ",C40))</f>
        <v>0</v>
      </c>
      <c r="Q40" s="244">
        <f aca="true" t="shared" si="17" ref="Q40:Q71">IF(OR(ISERR(P40),O40=0),"",CONCATENATE(MID(C40,P40+1,1),"."))</f>
      </c>
      <c r="R40" s="244">
        <f aca="true" t="shared" si="18" ref="R40:R72">IF(LEN(C40)=0,0,FIND(" ",C40,P40+1))</f>
        <v>0</v>
      </c>
      <c r="S40" s="244">
        <f aca="true" t="shared" si="19" ref="S40:S71">IF(OR(O40=0,ISERR(R40)),"",CONCATENATE(MID(C40,R40+1,1),"."))</f>
      </c>
      <c r="T40" s="244">
        <f aca="true" t="shared" si="20" ref="T40:T72">IF(C40="","",IF(ISERR(P40),UPPER(C40),UPPER(MID(C40,1,P40-1))))</f>
      </c>
      <c r="U40" s="244">
        <f aca="true" t="shared" si="21" ref="U40:U72">CONCATENATE(Q40,S40)</f>
      </c>
    </row>
    <row r="41" spans="1:21" s="43" customFormat="1" ht="12.75">
      <c r="A41" s="156">
        <f t="shared" si="11"/>
        <v>34</v>
      </c>
      <c r="B41" s="543"/>
      <c r="C41" s="548"/>
      <c r="D41" s="163"/>
      <c r="E41" s="544"/>
      <c r="F41" s="163"/>
      <c r="G41" s="163"/>
      <c r="H41" s="545"/>
      <c r="I41" s="546"/>
      <c r="J41" s="505"/>
      <c r="K41" s="241">
        <f t="shared" si="12"/>
        <v>2</v>
      </c>
      <c r="L41" s="242">
        <f t="shared" si="13"/>
        <v>0</v>
      </c>
      <c r="M41" s="242">
        <f t="shared" si="14"/>
        <v>0</v>
      </c>
      <c r="N41" s="243"/>
      <c r="O41" s="244">
        <f t="shared" si="15"/>
        <v>0</v>
      </c>
      <c r="P41" s="244">
        <f t="shared" si="16"/>
        <v>0</v>
      </c>
      <c r="Q41" s="244">
        <f t="shared" si="17"/>
      </c>
      <c r="R41" s="244">
        <f t="shared" si="18"/>
        <v>0</v>
      </c>
      <c r="S41" s="244">
        <f t="shared" si="19"/>
      </c>
      <c r="T41" s="244">
        <f t="shared" si="20"/>
      </c>
      <c r="U41" s="244">
        <f t="shared" si="21"/>
      </c>
    </row>
    <row r="42" spans="1:21" s="43" customFormat="1" ht="12.75">
      <c r="A42" s="156">
        <f t="shared" si="11"/>
        <v>35</v>
      </c>
      <c r="B42" s="543"/>
      <c r="C42" s="548"/>
      <c r="D42" s="163"/>
      <c r="E42" s="544"/>
      <c r="F42" s="163"/>
      <c r="G42" s="163"/>
      <c r="H42" s="545"/>
      <c r="I42" s="546"/>
      <c r="J42" s="505"/>
      <c r="K42" s="241">
        <f t="shared" si="12"/>
        <v>2</v>
      </c>
      <c r="L42" s="242">
        <f t="shared" si="13"/>
        <v>0</v>
      </c>
      <c r="M42" s="242">
        <f t="shared" si="14"/>
        <v>0</v>
      </c>
      <c r="N42" s="243"/>
      <c r="O42" s="244">
        <f t="shared" si="15"/>
        <v>0</v>
      </c>
      <c r="P42" s="244">
        <f t="shared" si="16"/>
        <v>0</v>
      </c>
      <c r="Q42" s="244">
        <f t="shared" si="17"/>
      </c>
      <c r="R42" s="244">
        <f t="shared" si="18"/>
        <v>0</v>
      </c>
      <c r="S42" s="244">
        <f t="shared" si="19"/>
      </c>
      <c r="T42" s="244">
        <f t="shared" si="20"/>
      </c>
      <c r="U42" s="244">
        <f t="shared" si="21"/>
      </c>
    </row>
    <row r="43" spans="1:21" s="43" customFormat="1" ht="12.75">
      <c r="A43" s="156">
        <f t="shared" si="11"/>
        <v>36</v>
      </c>
      <c r="B43" s="543"/>
      <c r="C43" s="548"/>
      <c r="D43" s="163"/>
      <c r="E43" s="544"/>
      <c r="F43" s="163"/>
      <c r="G43" s="163"/>
      <c r="H43" s="545"/>
      <c r="I43" s="546"/>
      <c r="J43" s="505"/>
      <c r="K43" s="241">
        <f t="shared" si="12"/>
        <v>2</v>
      </c>
      <c r="L43" s="242">
        <f t="shared" si="13"/>
        <v>0</v>
      </c>
      <c r="M43" s="242">
        <f t="shared" si="14"/>
        <v>0</v>
      </c>
      <c r="N43" s="243"/>
      <c r="O43" s="244">
        <f t="shared" si="15"/>
        <v>0</v>
      </c>
      <c r="P43" s="244">
        <f t="shared" si="16"/>
        <v>0</v>
      </c>
      <c r="Q43" s="244">
        <f t="shared" si="17"/>
      </c>
      <c r="R43" s="244">
        <f t="shared" si="18"/>
        <v>0</v>
      </c>
      <c r="S43" s="244">
        <f t="shared" si="19"/>
      </c>
      <c r="T43" s="244">
        <f t="shared" si="20"/>
      </c>
      <c r="U43" s="244">
        <f t="shared" si="21"/>
      </c>
    </row>
    <row r="44" spans="1:21" s="43" customFormat="1" ht="12.75">
      <c r="A44" s="156">
        <f t="shared" si="11"/>
        <v>37</v>
      </c>
      <c r="B44" s="543"/>
      <c r="C44" s="548"/>
      <c r="D44" s="163"/>
      <c r="E44" s="544"/>
      <c r="F44" s="163"/>
      <c r="G44" s="163"/>
      <c r="H44" s="545"/>
      <c r="I44" s="546"/>
      <c r="J44" s="505"/>
      <c r="K44" s="241">
        <f t="shared" si="12"/>
        <v>2</v>
      </c>
      <c r="L44" s="242">
        <f t="shared" si="13"/>
        <v>0</v>
      </c>
      <c r="M44" s="242">
        <f t="shared" si="14"/>
        <v>0</v>
      </c>
      <c r="N44" s="243"/>
      <c r="O44" s="244">
        <f t="shared" si="15"/>
        <v>0</v>
      </c>
      <c r="P44" s="244">
        <f t="shared" si="16"/>
        <v>0</v>
      </c>
      <c r="Q44" s="244">
        <f t="shared" si="17"/>
      </c>
      <c r="R44" s="244">
        <f t="shared" si="18"/>
        <v>0</v>
      </c>
      <c r="S44" s="244">
        <f t="shared" si="19"/>
      </c>
      <c r="T44" s="244">
        <f t="shared" si="20"/>
      </c>
      <c r="U44" s="244">
        <f t="shared" si="21"/>
      </c>
    </row>
    <row r="45" spans="1:21" s="43" customFormat="1" ht="12.75">
      <c r="A45" s="156">
        <f t="shared" si="11"/>
        <v>38</v>
      </c>
      <c r="B45" s="543"/>
      <c r="C45" s="548"/>
      <c r="D45" s="163"/>
      <c r="E45" s="544"/>
      <c r="F45" s="163"/>
      <c r="G45" s="163"/>
      <c r="H45" s="545"/>
      <c r="I45" s="546"/>
      <c r="J45" s="505"/>
      <c r="K45" s="241">
        <f t="shared" si="12"/>
        <v>2</v>
      </c>
      <c r="L45" s="242">
        <f t="shared" si="13"/>
        <v>0</v>
      </c>
      <c r="M45" s="242">
        <f t="shared" si="14"/>
        <v>0</v>
      </c>
      <c r="N45" s="243"/>
      <c r="O45" s="244">
        <f t="shared" si="15"/>
        <v>0</v>
      </c>
      <c r="P45" s="244">
        <f t="shared" si="16"/>
        <v>0</v>
      </c>
      <c r="Q45" s="244">
        <f t="shared" si="17"/>
      </c>
      <c r="R45" s="244">
        <f t="shared" si="18"/>
        <v>0</v>
      </c>
      <c r="S45" s="244">
        <f t="shared" si="19"/>
      </c>
      <c r="T45" s="244">
        <f t="shared" si="20"/>
      </c>
      <c r="U45" s="244">
        <f t="shared" si="21"/>
      </c>
    </row>
    <row r="46" spans="1:21" s="43" customFormat="1" ht="12.75">
      <c r="A46" s="156">
        <f t="shared" si="11"/>
        <v>39</v>
      </c>
      <c r="B46" s="543"/>
      <c r="C46" s="548"/>
      <c r="D46" s="163"/>
      <c r="E46" s="544"/>
      <c r="F46" s="163"/>
      <c r="G46" s="163"/>
      <c r="H46" s="545"/>
      <c r="I46" s="546"/>
      <c r="J46" s="505"/>
      <c r="K46" s="241">
        <f t="shared" si="12"/>
        <v>2</v>
      </c>
      <c r="L46" s="242">
        <f t="shared" si="13"/>
        <v>0</v>
      </c>
      <c r="M46" s="242">
        <f t="shared" si="14"/>
        <v>0</v>
      </c>
      <c r="N46" s="243"/>
      <c r="O46" s="244">
        <f t="shared" si="15"/>
        <v>0</v>
      </c>
      <c r="P46" s="244">
        <f t="shared" si="16"/>
        <v>0</v>
      </c>
      <c r="Q46" s="244">
        <f t="shared" si="17"/>
      </c>
      <c r="R46" s="244">
        <f t="shared" si="18"/>
        <v>0</v>
      </c>
      <c r="S46" s="244">
        <f t="shared" si="19"/>
      </c>
      <c r="T46" s="244">
        <f t="shared" si="20"/>
      </c>
      <c r="U46" s="244">
        <f t="shared" si="21"/>
      </c>
    </row>
    <row r="47" spans="1:21" s="43" customFormat="1" ht="12.75">
      <c r="A47" s="156">
        <f t="shared" si="11"/>
        <v>40</v>
      </c>
      <c r="B47" s="543"/>
      <c r="C47" s="548"/>
      <c r="D47" s="163"/>
      <c r="E47" s="544"/>
      <c r="F47" s="163"/>
      <c r="G47" s="163"/>
      <c r="H47" s="545"/>
      <c r="I47" s="546"/>
      <c r="J47" s="505"/>
      <c r="K47" s="241">
        <f t="shared" si="12"/>
        <v>2</v>
      </c>
      <c r="L47" s="242">
        <f t="shared" si="13"/>
        <v>0</v>
      </c>
      <c r="M47" s="242">
        <f t="shared" si="14"/>
        <v>0</v>
      </c>
      <c r="N47" s="243"/>
      <c r="O47" s="244">
        <f t="shared" si="15"/>
        <v>0</v>
      </c>
      <c r="P47" s="244">
        <f t="shared" si="16"/>
        <v>0</v>
      </c>
      <c r="Q47" s="244">
        <f t="shared" si="17"/>
      </c>
      <c r="R47" s="244">
        <f t="shared" si="18"/>
        <v>0</v>
      </c>
      <c r="S47" s="244">
        <f t="shared" si="19"/>
      </c>
      <c r="T47" s="244">
        <f t="shared" si="20"/>
      </c>
      <c r="U47" s="244">
        <f t="shared" si="21"/>
      </c>
    </row>
    <row r="48" spans="1:21" s="43" customFormat="1" ht="12.75">
      <c r="A48" s="156">
        <f t="shared" si="11"/>
        <v>41</v>
      </c>
      <c r="B48" s="543"/>
      <c r="C48" s="548"/>
      <c r="D48" s="163"/>
      <c r="E48" s="544"/>
      <c r="F48" s="163"/>
      <c r="G48" s="163"/>
      <c r="H48" s="545"/>
      <c r="I48" s="546"/>
      <c r="J48" s="505"/>
      <c r="K48" s="241">
        <f t="shared" si="12"/>
        <v>2</v>
      </c>
      <c r="L48" s="242">
        <f t="shared" si="13"/>
        <v>0</v>
      </c>
      <c r="M48" s="242">
        <f t="shared" si="14"/>
        <v>0</v>
      </c>
      <c r="N48" s="243"/>
      <c r="O48" s="244">
        <f t="shared" si="15"/>
        <v>0</v>
      </c>
      <c r="P48" s="244">
        <f t="shared" si="16"/>
        <v>0</v>
      </c>
      <c r="Q48" s="244">
        <f t="shared" si="17"/>
      </c>
      <c r="R48" s="244">
        <f t="shared" si="18"/>
        <v>0</v>
      </c>
      <c r="S48" s="244">
        <f t="shared" si="19"/>
      </c>
      <c r="T48" s="244">
        <f t="shared" si="20"/>
      </c>
      <c r="U48" s="244">
        <f t="shared" si="21"/>
      </c>
    </row>
    <row r="49" spans="1:21" s="43" customFormat="1" ht="12.75">
      <c r="A49" s="156">
        <f t="shared" si="11"/>
        <v>42</v>
      </c>
      <c r="B49" s="543"/>
      <c r="C49" s="548"/>
      <c r="D49" s="163"/>
      <c r="E49" s="544"/>
      <c r="F49" s="163"/>
      <c r="G49" s="163"/>
      <c r="H49" s="545"/>
      <c r="I49" s="546"/>
      <c r="J49" s="505"/>
      <c r="K49" s="241">
        <f t="shared" si="12"/>
        <v>2</v>
      </c>
      <c r="L49" s="242">
        <f t="shared" si="13"/>
        <v>0</v>
      </c>
      <c r="M49" s="242">
        <f t="shared" si="14"/>
        <v>0</v>
      </c>
      <c r="N49" s="243"/>
      <c r="O49" s="244">
        <f t="shared" si="15"/>
        <v>0</v>
      </c>
      <c r="P49" s="244">
        <f t="shared" si="16"/>
        <v>0</v>
      </c>
      <c r="Q49" s="244">
        <f t="shared" si="17"/>
      </c>
      <c r="R49" s="244">
        <f t="shared" si="18"/>
        <v>0</v>
      </c>
      <c r="S49" s="244">
        <f t="shared" si="19"/>
      </c>
      <c r="T49" s="244">
        <f t="shared" si="20"/>
      </c>
      <c r="U49" s="244">
        <f t="shared" si="21"/>
      </c>
    </row>
    <row r="50" spans="1:21" s="43" customFormat="1" ht="12.75">
      <c r="A50" s="156">
        <f t="shared" si="11"/>
        <v>43</v>
      </c>
      <c r="B50" s="543"/>
      <c r="C50" s="548"/>
      <c r="D50" s="163"/>
      <c r="E50" s="544"/>
      <c r="F50" s="163"/>
      <c r="G50" s="163"/>
      <c r="H50" s="545"/>
      <c r="I50" s="546"/>
      <c r="J50" s="505"/>
      <c r="K50" s="241">
        <f t="shared" si="12"/>
        <v>2</v>
      </c>
      <c r="L50" s="242">
        <f t="shared" si="13"/>
        <v>0</v>
      </c>
      <c r="M50" s="242">
        <f t="shared" si="14"/>
        <v>0</v>
      </c>
      <c r="N50" s="243"/>
      <c r="O50" s="244">
        <f t="shared" si="15"/>
        <v>0</v>
      </c>
      <c r="P50" s="244">
        <f t="shared" si="16"/>
        <v>0</v>
      </c>
      <c r="Q50" s="244">
        <f t="shared" si="17"/>
      </c>
      <c r="R50" s="244">
        <f t="shared" si="18"/>
        <v>0</v>
      </c>
      <c r="S50" s="244">
        <f t="shared" si="19"/>
      </c>
      <c r="T50" s="244">
        <f t="shared" si="20"/>
      </c>
      <c r="U50" s="244">
        <f t="shared" si="21"/>
      </c>
    </row>
    <row r="51" spans="1:21" s="43" customFormat="1" ht="12.75">
      <c r="A51" s="156">
        <f t="shared" si="11"/>
        <v>44</v>
      </c>
      <c r="B51" s="543"/>
      <c r="C51" s="548"/>
      <c r="D51" s="163"/>
      <c r="E51" s="544"/>
      <c r="F51" s="163"/>
      <c r="G51" s="163"/>
      <c r="H51" s="545"/>
      <c r="I51" s="546"/>
      <c r="J51" s="505"/>
      <c r="K51" s="241">
        <f t="shared" si="12"/>
        <v>2</v>
      </c>
      <c r="L51" s="242">
        <f t="shared" si="13"/>
        <v>0</v>
      </c>
      <c r="M51" s="242">
        <f t="shared" si="14"/>
        <v>0</v>
      </c>
      <c r="N51" s="243"/>
      <c r="O51" s="244">
        <f t="shared" si="15"/>
        <v>0</v>
      </c>
      <c r="P51" s="244">
        <f t="shared" si="16"/>
        <v>0</v>
      </c>
      <c r="Q51" s="244">
        <f t="shared" si="17"/>
      </c>
      <c r="R51" s="244">
        <f t="shared" si="18"/>
        <v>0</v>
      </c>
      <c r="S51" s="244">
        <f t="shared" si="19"/>
      </c>
      <c r="T51" s="244">
        <f t="shared" si="20"/>
      </c>
      <c r="U51" s="244">
        <f t="shared" si="21"/>
      </c>
    </row>
    <row r="52" spans="1:21" s="43" customFormat="1" ht="12.75">
      <c r="A52" s="156">
        <f t="shared" si="11"/>
        <v>45</v>
      </c>
      <c r="B52" s="543"/>
      <c r="C52" s="548"/>
      <c r="D52" s="163"/>
      <c r="E52" s="544"/>
      <c r="F52" s="163"/>
      <c r="G52" s="163"/>
      <c r="H52" s="545"/>
      <c r="I52" s="546"/>
      <c r="J52" s="505"/>
      <c r="K52" s="241">
        <f t="shared" si="12"/>
        <v>2</v>
      </c>
      <c r="L52" s="242">
        <f t="shared" si="13"/>
        <v>0</v>
      </c>
      <c r="M52" s="242">
        <f t="shared" si="14"/>
        <v>0</v>
      </c>
      <c r="N52" s="243"/>
      <c r="O52" s="244">
        <f t="shared" si="15"/>
        <v>0</v>
      </c>
      <c r="P52" s="244">
        <f t="shared" si="16"/>
        <v>0</v>
      </c>
      <c r="Q52" s="244">
        <f t="shared" si="17"/>
      </c>
      <c r="R52" s="244">
        <f t="shared" si="18"/>
        <v>0</v>
      </c>
      <c r="S52" s="244">
        <f t="shared" si="19"/>
      </c>
      <c r="T52" s="244">
        <f t="shared" si="20"/>
      </c>
      <c r="U52" s="244">
        <f t="shared" si="21"/>
      </c>
    </row>
    <row r="53" spans="1:21" s="43" customFormat="1" ht="12.75">
      <c r="A53" s="156">
        <f t="shared" si="11"/>
        <v>46</v>
      </c>
      <c r="B53" s="543"/>
      <c r="C53" s="548"/>
      <c r="D53" s="163"/>
      <c r="E53" s="544"/>
      <c r="F53" s="163"/>
      <c r="G53" s="163"/>
      <c r="H53" s="545"/>
      <c r="I53" s="546"/>
      <c r="J53" s="505"/>
      <c r="K53" s="241">
        <f t="shared" si="12"/>
        <v>2</v>
      </c>
      <c r="L53" s="242">
        <f t="shared" si="13"/>
        <v>0</v>
      </c>
      <c r="M53" s="242">
        <f t="shared" si="14"/>
        <v>0</v>
      </c>
      <c r="N53" s="243"/>
      <c r="O53" s="244">
        <f t="shared" si="15"/>
        <v>0</v>
      </c>
      <c r="P53" s="244">
        <f t="shared" si="16"/>
        <v>0</v>
      </c>
      <c r="Q53" s="244">
        <f t="shared" si="17"/>
      </c>
      <c r="R53" s="244">
        <f t="shared" si="18"/>
        <v>0</v>
      </c>
      <c r="S53" s="244">
        <f t="shared" si="19"/>
      </c>
      <c r="T53" s="244">
        <f t="shared" si="20"/>
      </c>
      <c r="U53" s="244">
        <f t="shared" si="21"/>
      </c>
    </row>
    <row r="54" spans="1:21" s="43" customFormat="1" ht="12.75">
      <c r="A54" s="156">
        <f t="shared" si="11"/>
        <v>47</v>
      </c>
      <c r="B54" s="543"/>
      <c r="C54" s="548"/>
      <c r="D54" s="163"/>
      <c r="E54" s="544"/>
      <c r="F54" s="163"/>
      <c r="G54" s="163"/>
      <c r="H54" s="545"/>
      <c r="I54" s="546"/>
      <c r="J54" s="505"/>
      <c r="K54" s="241">
        <f t="shared" si="12"/>
        <v>2</v>
      </c>
      <c r="L54" s="242">
        <f t="shared" si="13"/>
        <v>0</v>
      </c>
      <c r="M54" s="242">
        <f t="shared" si="14"/>
        <v>0</v>
      </c>
      <c r="N54" s="243"/>
      <c r="O54" s="244">
        <f t="shared" si="15"/>
        <v>0</v>
      </c>
      <c r="P54" s="244">
        <f t="shared" si="16"/>
        <v>0</v>
      </c>
      <c r="Q54" s="244">
        <f t="shared" si="17"/>
      </c>
      <c r="R54" s="244">
        <f t="shared" si="18"/>
        <v>0</v>
      </c>
      <c r="S54" s="244">
        <f t="shared" si="19"/>
      </c>
      <c r="T54" s="244">
        <f t="shared" si="20"/>
      </c>
      <c r="U54" s="244">
        <f t="shared" si="21"/>
      </c>
    </row>
    <row r="55" spans="1:21" s="43" customFormat="1" ht="12.75">
      <c r="A55" s="156">
        <f t="shared" si="11"/>
        <v>48</v>
      </c>
      <c r="B55" s="543"/>
      <c r="C55" s="548"/>
      <c r="D55" s="163"/>
      <c r="E55" s="544"/>
      <c r="F55" s="163"/>
      <c r="G55" s="163"/>
      <c r="H55" s="545"/>
      <c r="I55" s="546"/>
      <c r="J55" s="505"/>
      <c r="K55" s="241">
        <f t="shared" si="12"/>
        <v>2</v>
      </c>
      <c r="L55" s="242">
        <f t="shared" si="13"/>
        <v>0</v>
      </c>
      <c r="M55" s="242">
        <f t="shared" si="14"/>
        <v>0</v>
      </c>
      <c r="N55" s="243"/>
      <c r="O55" s="244">
        <f t="shared" si="15"/>
        <v>0</v>
      </c>
      <c r="P55" s="244">
        <f t="shared" si="16"/>
        <v>0</v>
      </c>
      <c r="Q55" s="244">
        <f t="shared" si="17"/>
      </c>
      <c r="R55" s="244">
        <f t="shared" si="18"/>
        <v>0</v>
      </c>
      <c r="S55" s="244">
        <f t="shared" si="19"/>
      </c>
      <c r="T55" s="244">
        <f t="shared" si="20"/>
      </c>
      <c r="U55" s="244">
        <f t="shared" si="21"/>
      </c>
    </row>
    <row r="56" spans="1:21" s="43" customFormat="1" ht="12.75">
      <c r="A56" s="156">
        <f t="shared" si="11"/>
        <v>49</v>
      </c>
      <c r="B56" s="543"/>
      <c r="C56" s="548"/>
      <c r="D56" s="163"/>
      <c r="E56" s="544"/>
      <c r="F56" s="163"/>
      <c r="G56" s="163"/>
      <c r="H56" s="545"/>
      <c r="I56" s="546"/>
      <c r="J56" s="505"/>
      <c r="K56" s="241">
        <f t="shared" si="12"/>
        <v>2</v>
      </c>
      <c r="L56" s="242">
        <f t="shared" si="13"/>
        <v>0</v>
      </c>
      <c r="M56" s="242">
        <f t="shared" si="14"/>
        <v>0</v>
      </c>
      <c r="N56" s="243"/>
      <c r="O56" s="244">
        <f t="shared" si="15"/>
        <v>0</v>
      </c>
      <c r="P56" s="244">
        <f t="shared" si="16"/>
        <v>0</v>
      </c>
      <c r="Q56" s="244">
        <f t="shared" si="17"/>
      </c>
      <c r="R56" s="244">
        <f t="shared" si="18"/>
        <v>0</v>
      </c>
      <c r="S56" s="244">
        <f t="shared" si="19"/>
      </c>
      <c r="T56" s="244">
        <f t="shared" si="20"/>
      </c>
      <c r="U56" s="244">
        <f t="shared" si="21"/>
      </c>
    </row>
    <row r="57" spans="1:21" s="43" customFormat="1" ht="12.75">
      <c r="A57" s="156">
        <f t="shared" si="11"/>
        <v>50</v>
      </c>
      <c r="B57" s="543"/>
      <c r="C57" s="548"/>
      <c r="D57" s="163"/>
      <c r="E57" s="544"/>
      <c r="F57" s="163"/>
      <c r="G57" s="163"/>
      <c r="H57" s="545"/>
      <c r="I57" s="546"/>
      <c r="J57" s="505"/>
      <c r="K57" s="241">
        <f t="shared" si="12"/>
        <v>2</v>
      </c>
      <c r="L57" s="242">
        <f t="shared" si="13"/>
        <v>0</v>
      </c>
      <c r="M57" s="242">
        <f t="shared" si="14"/>
        <v>0</v>
      </c>
      <c r="N57" s="243"/>
      <c r="O57" s="244">
        <f t="shared" si="15"/>
        <v>0</v>
      </c>
      <c r="P57" s="244">
        <f t="shared" si="16"/>
        <v>0</v>
      </c>
      <c r="Q57" s="244">
        <f t="shared" si="17"/>
      </c>
      <c r="R57" s="244">
        <f t="shared" si="18"/>
        <v>0</v>
      </c>
      <c r="S57" s="244">
        <f t="shared" si="19"/>
      </c>
      <c r="T57" s="244">
        <f t="shared" si="20"/>
      </c>
      <c r="U57" s="244">
        <f t="shared" si="21"/>
      </c>
    </row>
    <row r="58" spans="1:21" s="43" customFormat="1" ht="12.75">
      <c r="A58" s="156">
        <f t="shared" si="11"/>
        <v>51</v>
      </c>
      <c r="B58" s="543"/>
      <c r="C58" s="548"/>
      <c r="D58" s="163"/>
      <c r="E58" s="544"/>
      <c r="F58" s="163"/>
      <c r="G58" s="163"/>
      <c r="H58" s="545"/>
      <c r="I58" s="546"/>
      <c r="J58" s="505"/>
      <c r="K58" s="241">
        <f t="shared" si="12"/>
        <v>2</v>
      </c>
      <c r="L58" s="242">
        <f t="shared" si="13"/>
        <v>0</v>
      </c>
      <c r="M58" s="242">
        <f t="shared" si="14"/>
        <v>0</v>
      </c>
      <c r="N58" s="243"/>
      <c r="O58" s="244">
        <f t="shared" si="15"/>
        <v>0</v>
      </c>
      <c r="P58" s="244">
        <f t="shared" si="16"/>
        <v>0</v>
      </c>
      <c r="Q58" s="244">
        <f t="shared" si="17"/>
      </c>
      <c r="R58" s="244">
        <f t="shared" si="18"/>
        <v>0</v>
      </c>
      <c r="S58" s="244">
        <f t="shared" si="19"/>
      </c>
      <c r="T58" s="244">
        <f t="shared" si="20"/>
      </c>
      <c r="U58" s="244">
        <f t="shared" si="21"/>
      </c>
    </row>
    <row r="59" spans="1:21" s="43" customFormat="1" ht="12.75">
      <c r="A59" s="156">
        <f t="shared" si="11"/>
        <v>52</v>
      </c>
      <c r="B59" s="543"/>
      <c r="C59" s="548"/>
      <c r="D59" s="163"/>
      <c r="E59" s="544"/>
      <c r="F59" s="163"/>
      <c r="G59" s="163"/>
      <c r="H59" s="545"/>
      <c r="I59" s="546"/>
      <c r="J59" s="505"/>
      <c r="K59" s="241">
        <f t="shared" si="12"/>
        <v>2</v>
      </c>
      <c r="L59" s="242">
        <f t="shared" si="13"/>
        <v>0</v>
      </c>
      <c r="M59" s="242">
        <f t="shared" si="14"/>
        <v>0</v>
      </c>
      <c r="N59" s="243"/>
      <c r="O59" s="244">
        <f t="shared" si="15"/>
        <v>0</v>
      </c>
      <c r="P59" s="244">
        <f t="shared" si="16"/>
        <v>0</v>
      </c>
      <c r="Q59" s="244">
        <f t="shared" si="17"/>
      </c>
      <c r="R59" s="244">
        <f t="shared" si="18"/>
        <v>0</v>
      </c>
      <c r="S59" s="244">
        <f t="shared" si="19"/>
      </c>
      <c r="T59" s="244">
        <f t="shared" si="20"/>
      </c>
      <c r="U59" s="244">
        <f t="shared" si="21"/>
      </c>
    </row>
    <row r="60" spans="1:21" s="43" customFormat="1" ht="12.75">
      <c r="A60" s="156">
        <f t="shared" si="11"/>
        <v>53</v>
      </c>
      <c r="B60" s="543"/>
      <c r="C60" s="548"/>
      <c r="D60" s="163"/>
      <c r="E60" s="544"/>
      <c r="F60" s="163"/>
      <c r="G60" s="163"/>
      <c r="H60" s="545"/>
      <c r="I60" s="546"/>
      <c r="J60" s="505"/>
      <c r="K60" s="241">
        <f t="shared" si="12"/>
        <v>2</v>
      </c>
      <c r="L60" s="242">
        <f t="shared" si="13"/>
        <v>0</v>
      </c>
      <c r="M60" s="242">
        <f t="shared" si="14"/>
        <v>0</v>
      </c>
      <c r="N60" s="243"/>
      <c r="O60" s="244">
        <f t="shared" si="15"/>
        <v>0</v>
      </c>
      <c r="P60" s="244">
        <f t="shared" si="16"/>
        <v>0</v>
      </c>
      <c r="Q60" s="244">
        <f t="shared" si="17"/>
      </c>
      <c r="R60" s="244">
        <f t="shared" si="18"/>
        <v>0</v>
      </c>
      <c r="S60" s="244">
        <f t="shared" si="19"/>
      </c>
      <c r="T60" s="244">
        <f t="shared" si="20"/>
      </c>
      <c r="U60" s="244">
        <f t="shared" si="21"/>
      </c>
    </row>
    <row r="61" spans="1:21" s="43" customFormat="1" ht="12.75">
      <c r="A61" s="156">
        <f t="shared" si="11"/>
        <v>54</v>
      </c>
      <c r="B61" s="543"/>
      <c r="C61" s="548"/>
      <c r="D61" s="163"/>
      <c r="E61" s="544"/>
      <c r="F61" s="163"/>
      <c r="G61" s="163"/>
      <c r="H61" s="545"/>
      <c r="I61" s="546"/>
      <c r="J61" s="505"/>
      <c r="K61" s="241">
        <f t="shared" si="12"/>
        <v>2</v>
      </c>
      <c r="L61" s="242">
        <f t="shared" si="13"/>
        <v>0</v>
      </c>
      <c r="M61" s="242">
        <f t="shared" si="14"/>
        <v>0</v>
      </c>
      <c r="N61" s="243"/>
      <c r="O61" s="244">
        <f t="shared" si="15"/>
        <v>0</v>
      </c>
      <c r="P61" s="244">
        <f t="shared" si="16"/>
        <v>0</v>
      </c>
      <c r="Q61" s="244">
        <f t="shared" si="17"/>
      </c>
      <c r="R61" s="244">
        <f t="shared" si="18"/>
        <v>0</v>
      </c>
      <c r="S61" s="244">
        <f t="shared" si="19"/>
      </c>
      <c r="T61" s="244">
        <f t="shared" si="20"/>
      </c>
      <c r="U61" s="244">
        <f t="shared" si="21"/>
      </c>
    </row>
    <row r="62" spans="1:21" s="43" customFormat="1" ht="12.75">
      <c r="A62" s="156">
        <f t="shared" si="11"/>
        <v>55</v>
      </c>
      <c r="B62" s="543"/>
      <c r="C62" s="548"/>
      <c r="D62" s="163"/>
      <c r="E62" s="544"/>
      <c r="F62" s="163"/>
      <c r="G62" s="163"/>
      <c r="H62" s="545"/>
      <c r="I62" s="546"/>
      <c r="J62" s="505"/>
      <c r="K62" s="241">
        <f t="shared" si="12"/>
        <v>2</v>
      </c>
      <c r="L62" s="242">
        <f t="shared" si="13"/>
        <v>0</v>
      </c>
      <c r="M62" s="242">
        <f t="shared" si="14"/>
        <v>0</v>
      </c>
      <c r="N62" s="243"/>
      <c r="O62" s="244">
        <f t="shared" si="15"/>
        <v>0</v>
      </c>
      <c r="P62" s="244">
        <f t="shared" si="16"/>
        <v>0</v>
      </c>
      <c r="Q62" s="244">
        <f t="shared" si="17"/>
      </c>
      <c r="R62" s="244">
        <f t="shared" si="18"/>
        <v>0</v>
      </c>
      <c r="S62" s="244">
        <f t="shared" si="19"/>
      </c>
      <c r="T62" s="244">
        <f t="shared" si="20"/>
      </c>
      <c r="U62" s="244">
        <f t="shared" si="21"/>
      </c>
    </row>
    <row r="63" spans="1:21" s="43" customFormat="1" ht="12.75">
      <c r="A63" s="156">
        <f t="shared" si="11"/>
        <v>56</v>
      </c>
      <c r="B63" s="543"/>
      <c r="C63" s="548"/>
      <c r="D63" s="163"/>
      <c r="E63" s="544"/>
      <c r="F63" s="163"/>
      <c r="G63" s="163"/>
      <c r="H63" s="545"/>
      <c r="I63" s="546"/>
      <c r="J63" s="505"/>
      <c r="K63" s="241">
        <f t="shared" si="12"/>
        <v>2</v>
      </c>
      <c r="L63" s="242">
        <f t="shared" si="13"/>
        <v>0</v>
      </c>
      <c r="M63" s="242">
        <f t="shared" si="14"/>
        <v>0</v>
      </c>
      <c r="N63" s="243"/>
      <c r="O63" s="244">
        <f t="shared" si="15"/>
        <v>0</v>
      </c>
      <c r="P63" s="244">
        <f t="shared" si="16"/>
        <v>0</v>
      </c>
      <c r="Q63" s="244">
        <f t="shared" si="17"/>
      </c>
      <c r="R63" s="244">
        <f t="shared" si="18"/>
        <v>0</v>
      </c>
      <c r="S63" s="244">
        <f t="shared" si="19"/>
      </c>
      <c r="T63" s="244">
        <f t="shared" si="20"/>
      </c>
      <c r="U63" s="244">
        <f t="shared" si="21"/>
      </c>
    </row>
    <row r="64" spans="1:21" ht="12.75">
      <c r="A64" s="156">
        <f t="shared" si="11"/>
        <v>57</v>
      </c>
      <c r="B64" s="543"/>
      <c r="C64" s="548"/>
      <c r="D64" s="163"/>
      <c r="E64" s="544"/>
      <c r="F64" s="163"/>
      <c r="G64" s="163"/>
      <c r="H64" s="545"/>
      <c r="I64" s="546"/>
      <c r="J64" s="505"/>
      <c r="K64" s="241">
        <f t="shared" si="12"/>
        <v>2</v>
      </c>
      <c r="L64" s="242">
        <f t="shared" si="13"/>
        <v>0</v>
      </c>
      <c r="M64" s="242">
        <f t="shared" si="14"/>
        <v>0</v>
      </c>
      <c r="N64" s="245"/>
      <c r="O64" s="244">
        <f t="shared" si="15"/>
        <v>0</v>
      </c>
      <c r="P64" s="244">
        <f t="shared" si="16"/>
        <v>0</v>
      </c>
      <c r="Q64" s="244">
        <f t="shared" si="17"/>
      </c>
      <c r="R64" s="244">
        <f t="shared" si="18"/>
        <v>0</v>
      </c>
      <c r="S64" s="244">
        <f t="shared" si="19"/>
      </c>
      <c r="T64" s="244">
        <f t="shared" si="20"/>
      </c>
      <c r="U64" s="244">
        <f t="shared" si="21"/>
      </c>
    </row>
    <row r="65" spans="1:21" s="43" customFormat="1" ht="12.75">
      <c r="A65" s="156">
        <f t="shared" si="11"/>
        <v>58</v>
      </c>
      <c r="B65" s="543"/>
      <c r="C65" s="548"/>
      <c r="D65" s="163"/>
      <c r="E65" s="544"/>
      <c r="F65" s="163"/>
      <c r="G65" s="163"/>
      <c r="H65" s="545"/>
      <c r="I65" s="546"/>
      <c r="J65" s="505"/>
      <c r="K65" s="241">
        <f t="shared" si="12"/>
        <v>2</v>
      </c>
      <c r="L65" s="242">
        <f t="shared" si="13"/>
        <v>0</v>
      </c>
      <c r="M65" s="242">
        <f t="shared" si="14"/>
        <v>0</v>
      </c>
      <c r="N65" s="243"/>
      <c r="O65" s="244">
        <f t="shared" si="15"/>
        <v>0</v>
      </c>
      <c r="P65" s="244">
        <f t="shared" si="16"/>
        <v>0</v>
      </c>
      <c r="Q65" s="244">
        <f t="shared" si="17"/>
      </c>
      <c r="R65" s="244">
        <f t="shared" si="18"/>
        <v>0</v>
      </c>
      <c r="S65" s="244">
        <f t="shared" si="19"/>
      </c>
      <c r="T65" s="244">
        <f t="shared" si="20"/>
      </c>
      <c r="U65" s="244">
        <f t="shared" si="21"/>
      </c>
    </row>
    <row r="66" spans="1:21" s="43" customFormat="1" ht="12.75">
      <c r="A66" s="156">
        <f t="shared" si="11"/>
        <v>59</v>
      </c>
      <c r="B66" s="543"/>
      <c r="C66" s="548"/>
      <c r="D66" s="163"/>
      <c r="E66" s="544"/>
      <c r="F66" s="163"/>
      <c r="G66" s="163"/>
      <c r="H66" s="545"/>
      <c r="I66" s="546"/>
      <c r="J66" s="505"/>
      <c r="K66" s="241">
        <f t="shared" si="12"/>
        <v>2</v>
      </c>
      <c r="L66" s="242">
        <f t="shared" si="13"/>
        <v>0</v>
      </c>
      <c r="M66" s="242">
        <f t="shared" si="14"/>
        <v>0</v>
      </c>
      <c r="N66" s="243"/>
      <c r="O66" s="244">
        <f t="shared" si="15"/>
        <v>0</v>
      </c>
      <c r="P66" s="244">
        <f t="shared" si="16"/>
        <v>0</v>
      </c>
      <c r="Q66" s="244">
        <f t="shared" si="17"/>
      </c>
      <c r="R66" s="244">
        <f t="shared" si="18"/>
        <v>0</v>
      </c>
      <c r="S66" s="244">
        <f t="shared" si="19"/>
      </c>
      <c r="T66" s="244">
        <f t="shared" si="20"/>
      </c>
      <c r="U66" s="244">
        <f t="shared" si="21"/>
      </c>
    </row>
    <row r="67" spans="1:21" s="43" customFormat="1" ht="12.75">
      <c r="A67" s="156">
        <f t="shared" si="11"/>
        <v>60</v>
      </c>
      <c r="B67" s="543"/>
      <c r="C67" s="548"/>
      <c r="D67" s="163"/>
      <c r="E67" s="544"/>
      <c r="F67" s="163"/>
      <c r="G67" s="163"/>
      <c r="H67" s="545"/>
      <c r="I67" s="546"/>
      <c r="J67" s="505"/>
      <c r="K67" s="241">
        <f t="shared" si="12"/>
        <v>2</v>
      </c>
      <c r="L67" s="242">
        <f t="shared" si="13"/>
        <v>0</v>
      </c>
      <c r="M67" s="242">
        <f t="shared" si="14"/>
        <v>0</v>
      </c>
      <c r="N67" s="243"/>
      <c r="O67" s="244">
        <f t="shared" si="15"/>
        <v>0</v>
      </c>
      <c r="P67" s="244">
        <f t="shared" si="16"/>
        <v>0</v>
      </c>
      <c r="Q67" s="244">
        <f t="shared" si="17"/>
      </c>
      <c r="R67" s="244">
        <f t="shared" si="18"/>
        <v>0</v>
      </c>
      <c r="S67" s="244">
        <f t="shared" si="19"/>
      </c>
      <c r="T67" s="244">
        <f t="shared" si="20"/>
      </c>
      <c r="U67" s="244">
        <f t="shared" si="21"/>
      </c>
    </row>
    <row r="68" spans="1:21" s="43" customFormat="1" ht="12.75">
      <c r="A68" s="156">
        <f t="shared" si="11"/>
        <v>61</v>
      </c>
      <c r="B68" s="543"/>
      <c r="C68" s="548"/>
      <c r="D68" s="163"/>
      <c r="E68" s="544"/>
      <c r="F68" s="163"/>
      <c r="G68" s="163"/>
      <c r="H68" s="545"/>
      <c r="I68" s="546"/>
      <c r="J68" s="505"/>
      <c r="K68" s="241">
        <f t="shared" si="12"/>
        <v>2</v>
      </c>
      <c r="L68" s="242">
        <f t="shared" si="13"/>
        <v>0</v>
      </c>
      <c r="M68" s="242">
        <f t="shared" si="14"/>
        <v>0</v>
      </c>
      <c r="N68" s="243"/>
      <c r="O68" s="244">
        <f t="shared" si="15"/>
        <v>0</v>
      </c>
      <c r="P68" s="244">
        <f t="shared" si="16"/>
        <v>0</v>
      </c>
      <c r="Q68" s="244">
        <f t="shared" si="17"/>
      </c>
      <c r="R68" s="244">
        <f t="shared" si="18"/>
        <v>0</v>
      </c>
      <c r="S68" s="244">
        <f t="shared" si="19"/>
      </c>
      <c r="T68" s="244">
        <f t="shared" si="20"/>
      </c>
      <c r="U68" s="244">
        <f t="shared" si="21"/>
      </c>
    </row>
    <row r="69" spans="1:21" s="43" customFormat="1" ht="12.75">
      <c r="A69" s="156">
        <f t="shared" si="11"/>
        <v>62</v>
      </c>
      <c r="B69" s="543"/>
      <c r="C69" s="548"/>
      <c r="D69" s="163"/>
      <c r="E69" s="544"/>
      <c r="F69" s="163"/>
      <c r="G69" s="163"/>
      <c r="H69" s="545"/>
      <c r="I69" s="546"/>
      <c r="J69" s="505"/>
      <c r="K69" s="241">
        <f t="shared" si="12"/>
        <v>2</v>
      </c>
      <c r="L69" s="242">
        <f t="shared" si="13"/>
        <v>0</v>
      </c>
      <c r="M69" s="242">
        <f t="shared" si="14"/>
        <v>0</v>
      </c>
      <c r="N69" s="243"/>
      <c r="O69" s="244">
        <f t="shared" si="15"/>
        <v>0</v>
      </c>
      <c r="P69" s="244">
        <f t="shared" si="16"/>
        <v>0</v>
      </c>
      <c r="Q69" s="244">
        <f t="shared" si="17"/>
      </c>
      <c r="R69" s="244">
        <f t="shared" si="18"/>
        <v>0</v>
      </c>
      <c r="S69" s="244">
        <f t="shared" si="19"/>
      </c>
      <c r="T69" s="244">
        <f t="shared" si="20"/>
      </c>
      <c r="U69" s="244">
        <f t="shared" si="21"/>
      </c>
    </row>
    <row r="70" spans="1:21" s="43" customFormat="1" ht="12.75">
      <c r="A70" s="156">
        <f t="shared" si="11"/>
        <v>63</v>
      </c>
      <c r="B70" s="543"/>
      <c r="C70" s="548"/>
      <c r="D70" s="163"/>
      <c r="E70" s="544"/>
      <c r="F70" s="163"/>
      <c r="G70" s="163"/>
      <c r="H70" s="545"/>
      <c r="I70" s="546"/>
      <c r="J70" s="505"/>
      <c r="K70" s="241">
        <f t="shared" si="12"/>
        <v>2</v>
      </c>
      <c r="L70" s="242">
        <f t="shared" si="13"/>
        <v>0</v>
      </c>
      <c r="M70" s="242">
        <f t="shared" si="14"/>
        <v>0</v>
      </c>
      <c r="N70" s="243"/>
      <c r="O70" s="244">
        <f t="shared" si="15"/>
        <v>0</v>
      </c>
      <c r="P70" s="244">
        <f t="shared" si="16"/>
        <v>0</v>
      </c>
      <c r="Q70" s="244">
        <f t="shared" si="17"/>
      </c>
      <c r="R70" s="244">
        <f t="shared" si="18"/>
        <v>0</v>
      </c>
      <c r="S70" s="244">
        <f t="shared" si="19"/>
      </c>
      <c r="T70" s="244">
        <f t="shared" si="20"/>
      </c>
      <c r="U70" s="244">
        <f t="shared" si="21"/>
      </c>
    </row>
    <row r="71" spans="1:21" s="43" customFormat="1" ht="12.75">
      <c r="A71" s="156">
        <f>ROW()-7</f>
        <v>64</v>
      </c>
      <c r="B71" s="543"/>
      <c r="C71" s="548"/>
      <c r="D71" s="163"/>
      <c r="E71" s="544"/>
      <c r="F71" s="163"/>
      <c r="G71" s="163"/>
      <c r="H71" s="545"/>
      <c r="I71" s="546"/>
      <c r="J71" s="505"/>
      <c r="K71" s="241">
        <f t="shared" si="12"/>
        <v>2</v>
      </c>
      <c r="L71" s="242">
        <f t="shared" si="13"/>
        <v>0</v>
      </c>
      <c r="M71" s="242">
        <f t="shared" si="14"/>
        <v>0</v>
      </c>
      <c r="N71" s="243"/>
      <c r="O71" s="244">
        <f t="shared" si="15"/>
        <v>0</v>
      </c>
      <c r="P71" s="244">
        <f t="shared" si="16"/>
        <v>0</v>
      </c>
      <c r="Q71" s="244">
        <f t="shared" si="17"/>
      </c>
      <c r="R71" s="244">
        <f t="shared" si="18"/>
        <v>0</v>
      </c>
      <c r="S71" s="244">
        <f t="shared" si="19"/>
      </c>
      <c r="T71" s="244">
        <f t="shared" si="20"/>
      </c>
      <c r="U71" s="244">
        <f t="shared" si="21"/>
      </c>
    </row>
    <row r="72" spans="1:21" s="43" customFormat="1" ht="12.75">
      <c r="A72" s="156">
        <f>ROW()-7</f>
        <v>65</v>
      </c>
      <c r="B72" s="543"/>
      <c r="C72" s="548"/>
      <c r="D72" s="163"/>
      <c r="E72" s="544"/>
      <c r="F72" s="163"/>
      <c r="G72" s="163"/>
      <c r="H72" s="545"/>
      <c r="I72" s="546"/>
      <c r="J72" s="505"/>
      <c r="K72" s="241">
        <f t="shared" si="12"/>
        <v>2</v>
      </c>
      <c r="L72" s="242">
        <f t="shared" si="13"/>
        <v>0</v>
      </c>
      <c r="M72" s="242">
        <f>IF(J72="СК",1,0)*(1-L72)</f>
        <v>0</v>
      </c>
      <c r="N72" s="243"/>
      <c r="O72" s="244">
        <f t="shared" si="15"/>
        <v>0</v>
      </c>
      <c r="P72" s="244">
        <f>IF((O72)=0,0,FIND(" ",C72))</f>
        <v>0</v>
      </c>
      <c r="Q72" s="244">
        <f>IF(OR(ISERR(P72),O72=0),"",CONCATENATE(MID(C72,P72+1,1),"."))</f>
      </c>
      <c r="R72" s="244">
        <f t="shared" si="18"/>
        <v>0</v>
      </c>
      <c r="S72" s="244">
        <f>IF(OR(O72=0,ISERR(R72)),"",CONCATENATE(MID(C72,R72+1,1),"."))</f>
      </c>
      <c r="T72" s="244">
        <f t="shared" si="20"/>
      </c>
      <c r="U72" s="244">
        <f t="shared" si="21"/>
      </c>
    </row>
    <row r="73" spans="1:21" s="413" customFormat="1" ht="12.75">
      <c r="A73" s="404"/>
      <c r="B73" s="405"/>
      <c r="C73" s="406"/>
      <c r="D73" s="407"/>
      <c r="E73" s="408"/>
      <c r="F73" s="407"/>
      <c r="G73" s="407"/>
      <c r="H73" s="409"/>
      <c r="I73" s="414"/>
      <c r="J73" s="414"/>
      <c r="K73" s="410"/>
      <c r="L73" s="411"/>
      <c r="M73" s="411"/>
      <c r="N73" s="410"/>
      <c r="O73" s="412"/>
      <c r="P73" s="412"/>
      <c r="Q73" s="412"/>
      <c r="R73" s="412"/>
      <c r="S73" s="412"/>
      <c r="T73" s="412"/>
      <c r="U73" s="412"/>
    </row>
    <row r="74" spans="1:21" s="413" customFormat="1" ht="12.75">
      <c r="A74" s="404"/>
      <c r="B74" s="405"/>
      <c r="C74" s="406"/>
      <c r="D74" s="407"/>
      <c r="E74" s="408"/>
      <c r="F74" s="407"/>
      <c r="G74" s="414"/>
      <c r="H74" s="409"/>
      <c r="I74" s="414"/>
      <c r="J74" s="414"/>
      <c r="K74" s="410"/>
      <c r="L74" s="411"/>
      <c r="M74" s="411"/>
      <c r="N74" s="410"/>
      <c r="O74" s="412"/>
      <c r="P74" s="412"/>
      <c r="Q74" s="412"/>
      <c r="R74" s="412"/>
      <c r="S74" s="412"/>
      <c r="T74" s="412"/>
      <c r="U74" s="412"/>
    </row>
    <row r="75" spans="1:21" s="413" customFormat="1" ht="12.75">
      <c r="A75" s="404"/>
      <c r="B75" s="405"/>
      <c r="C75" s="406"/>
      <c r="D75" s="407"/>
      <c r="E75" s="408"/>
      <c r="F75" s="407"/>
      <c r="G75" s="414"/>
      <c r="H75" s="409"/>
      <c r="I75" s="414"/>
      <c r="J75" s="414"/>
      <c r="K75" s="410"/>
      <c r="L75" s="411"/>
      <c r="M75" s="411"/>
      <c r="N75" s="410"/>
      <c r="O75" s="412"/>
      <c r="P75" s="412"/>
      <c r="Q75" s="412"/>
      <c r="R75" s="412"/>
      <c r="S75" s="412"/>
      <c r="T75" s="412"/>
      <c r="U75" s="412"/>
    </row>
    <row r="76" spans="1:21" s="413" customFormat="1" ht="12.75">
      <c r="A76" s="404"/>
      <c r="B76" s="405"/>
      <c r="C76" s="406"/>
      <c r="D76" s="407"/>
      <c r="E76" s="408"/>
      <c r="F76" s="407"/>
      <c r="G76" s="414"/>
      <c r="H76" s="409"/>
      <c r="I76" s="414"/>
      <c r="J76" s="414"/>
      <c r="K76" s="410"/>
      <c r="L76" s="411"/>
      <c r="M76" s="411"/>
      <c r="N76" s="410"/>
      <c r="O76" s="412"/>
      <c r="P76" s="412"/>
      <c r="Q76" s="412"/>
      <c r="R76" s="412"/>
      <c r="S76" s="412"/>
      <c r="T76" s="412"/>
      <c r="U76" s="412"/>
    </row>
    <row r="77" spans="1:21" s="413" customFormat="1" ht="12.75">
      <c r="A77" s="404"/>
      <c r="B77" s="405"/>
      <c r="C77" s="406"/>
      <c r="D77" s="407"/>
      <c r="E77" s="408"/>
      <c r="F77" s="407"/>
      <c r="G77" s="407"/>
      <c r="H77" s="409"/>
      <c r="I77" s="414"/>
      <c r="J77" s="414"/>
      <c r="K77" s="410"/>
      <c r="L77" s="411"/>
      <c r="M77" s="411"/>
      <c r="N77" s="410"/>
      <c r="O77" s="412"/>
      <c r="P77" s="412"/>
      <c r="Q77" s="412"/>
      <c r="R77" s="412"/>
      <c r="S77" s="412"/>
      <c r="T77" s="412"/>
      <c r="U77" s="412"/>
    </row>
    <row r="78" spans="1:21" s="413" customFormat="1" ht="12.75">
      <c r="A78" s="404"/>
      <c r="B78" s="405"/>
      <c r="C78" s="406"/>
      <c r="D78" s="407"/>
      <c r="E78" s="408"/>
      <c r="F78" s="407"/>
      <c r="G78" s="414"/>
      <c r="H78" s="409"/>
      <c r="I78" s="414"/>
      <c r="J78" s="414"/>
      <c r="K78" s="410"/>
      <c r="L78" s="411"/>
      <c r="M78" s="411"/>
      <c r="N78" s="410"/>
      <c r="O78" s="412"/>
      <c r="P78" s="412"/>
      <c r="Q78" s="412"/>
      <c r="R78" s="412"/>
      <c r="S78" s="412"/>
      <c r="T78" s="412"/>
      <c r="U78" s="412"/>
    </row>
    <row r="79" spans="1:21" s="413" customFormat="1" ht="12.75">
      <c r="A79" s="404"/>
      <c r="B79" s="405"/>
      <c r="C79" s="406"/>
      <c r="D79" s="407"/>
      <c r="E79" s="408"/>
      <c r="F79" s="407"/>
      <c r="G79" s="414"/>
      <c r="H79" s="409"/>
      <c r="I79" s="414"/>
      <c r="J79" s="414"/>
      <c r="K79" s="410"/>
      <c r="L79" s="411"/>
      <c r="M79" s="411"/>
      <c r="N79" s="410"/>
      <c r="O79" s="412"/>
      <c r="P79" s="412"/>
      <c r="Q79" s="412"/>
      <c r="R79" s="412"/>
      <c r="S79" s="412"/>
      <c r="T79" s="412"/>
      <c r="U79" s="412"/>
    </row>
    <row r="80" spans="1:21" s="413" customFormat="1" ht="12.75">
      <c r="A80" s="404"/>
      <c r="B80" s="405"/>
      <c r="C80" s="406"/>
      <c r="D80" s="407"/>
      <c r="E80" s="408"/>
      <c r="F80" s="407"/>
      <c r="G80" s="414"/>
      <c r="H80" s="409"/>
      <c r="I80" s="414"/>
      <c r="J80" s="414"/>
      <c r="K80" s="410"/>
      <c r="L80" s="411"/>
      <c r="M80" s="411"/>
      <c r="N80" s="410"/>
      <c r="O80" s="412"/>
      <c r="P80" s="412"/>
      <c r="Q80" s="412"/>
      <c r="R80" s="412"/>
      <c r="S80" s="412"/>
      <c r="T80" s="412"/>
      <c r="U80" s="412"/>
    </row>
    <row r="81" spans="1:21" s="413" customFormat="1" ht="12.75">
      <c r="A81" s="404"/>
      <c r="B81" s="405"/>
      <c r="C81" s="406"/>
      <c r="D81" s="407"/>
      <c r="E81" s="408"/>
      <c r="F81" s="407"/>
      <c r="G81" s="414"/>
      <c r="H81" s="409"/>
      <c r="I81" s="414"/>
      <c r="J81" s="414"/>
      <c r="K81" s="410"/>
      <c r="L81" s="411"/>
      <c r="M81" s="411"/>
      <c r="N81" s="410"/>
      <c r="O81" s="412"/>
      <c r="P81" s="412"/>
      <c r="Q81" s="412"/>
      <c r="R81" s="412"/>
      <c r="S81" s="412"/>
      <c r="T81" s="412"/>
      <c r="U81" s="412"/>
    </row>
    <row r="82" spans="1:21" s="413" customFormat="1" ht="12.75">
      <c r="A82" s="404"/>
      <c r="B82" s="405"/>
      <c r="C82" s="406"/>
      <c r="D82" s="407"/>
      <c r="E82" s="408"/>
      <c r="F82" s="407"/>
      <c r="G82" s="414"/>
      <c r="H82" s="409"/>
      <c r="I82" s="414"/>
      <c r="J82" s="414"/>
      <c r="K82" s="410"/>
      <c r="L82" s="411"/>
      <c r="M82" s="411"/>
      <c r="N82" s="410"/>
      <c r="O82" s="412"/>
      <c r="P82" s="412"/>
      <c r="Q82" s="412"/>
      <c r="R82" s="412"/>
      <c r="S82" s="412"/>
      <c r="T82" s="412"/>
      <c r="U82" s="412"/>
    </row>
    <row r="83" spans="1:21" s="413" customFormat="1" ht="12.75">
      <c r="A83" s="404"/>
      <c r="B83" s="405"/>
      <c r="C83" s="406"/>
      <c r="D83" s="407"/>
      <c r="E83" s="408"/>
      <c r="F83" s="407"/>
      <c r="G83" s="414"/>
      <c r="H83" s="409"/>
      <c r="I83" s="414"/>
      <c r="J83" s="414"/>
      <c r="K83" s="410"/>
      <c r="L83" s="411"/>
      <c r="M83" s="411"/>
      <c r="N83" s="410"/>
      <c r="O83" s="412"/>
      <c r="P83" s="412"/>
      <c r="Q83" s="412"/>
      <c r="R83" s="412"/>
      <c r="S83" s="412"/>
      <c r="T83" s="412"/>
      <c r="U83" s="412"/>
    </row>
    <row r="84" spans="1:21" s="413" customFormat="1" ht="12.75">
      <c r="A84" s="404"/>
      <c r="B84" s="405"/>
      <c r="C84" s="406"/>
      <c r="D84" s="407"/>
      <c r="E84" s="408"/>
      <c r="F84" s="407"/>
      <c r="G84" s="407"/>
      <c r="H84" s="409"/>
      <c r="I84" s="414"/>
      <c r="J84" s="414"/>
      <c r="K84" s="410"/>
      <c r="L84" s="411"/>
      <c r="M84" s="411"/>
      <c r="N84" s="410"/>
      <c r="O84" s="412"/>
      <c r="P84" s="412"/>
      <c r="Q84" s="412"/>
      <c r="R84" s="412"/>
      <c r="S84" s="412"/>
      <c r="T84" s="412"/>
      <c r="U84" s="412"/>
    </row>
    <row r="85" spans="1:21" s="413" customFormat="1" ht="12.75">
      <c r="A85" s="404"/>
      <c r="B85" s="405"/>
      <c r="C85" s="406"/>
      <c r="D85" s="407"/>
      <c r="E85" s="408"/>
      <c r="F85" s="407"/>
      <c r="G85" s="414"/>
      <c r="H85" s="409"/>
      <c r="I85" s="414"/>
      <c r="J85" s="414"/>
      <c r="K85" s="410"/>
      <c r="L85" s="411"/>
      <c r="M85" s="411"/>
      <c r="N85" s="410"/>
      <c r="O85" s="412"/>
      <c r="P85" s="412"/>
      <c r="Q85" s="412"/>
      <c r="R85" s="412"/>
      <c r="S85" s="412"/>
      <c r="T85" s="412"/>
      <c r="U85" s="412"/>
    </row>
    <row r="86" spans="1:21" s="413" customFormat="1" ht="12.75">
      <c r="A86" s="404"/>
      <c r="B86" s="405"/>
      <c r="C86" s="406"/>
      <c r="D86" s="407"/>
      <c r="E86" s="408"/>
      <c r="F86" s="407"/>
      <c r="G86" s="414"/>
      <c r="H86" s="409"/>
      <c r="I86" s="414"/>
      <c r="J86" s="414"/>
      <c r="K86" s="410"/>
      <c r="L86" s="411"/>
      <c r="M86" s="411"/>
      <c r="N86" s="410"/>
      <c r="O86" s="412"/>
      <c r="P86" s="412"/>
      <c r="Q86" s="412"/>
      <c r="R86" s="412"/>
      <c r="S86" s="412"/>
      <c r="T86" s="412"/>
      <c r="U86" s="412"/>
    </row>
    <row r="87" spans="1:21" s="413" customFormat="1" ht="12.75">
      <c r="A87" s="404"/>
      <c r="B87" s="405"/>
      <c r="C87" s="406"/>
      <c r="D87" s="407"/>
      <c r="E87" s="408"/>
      <c r="F87" s="407"/>
      <c r="G87" s="414"/>
      <c r="H87" s="409"/>
      <c r="I87" s="414"/>
      <c r="J87" s="414"/>
      <c r="K87" s="410"/>
      <c r="L87" s="411"/>
      <c r="M87" s="411"/>
      <c r="N87" s="410"/>
      <c r="O87" s="412"/>
      <c r="P87" s="412"/>
      <c r="Q87" s="412"/>
      <c r="R87" s="412"/>
      <c r="S87" s="412"/>
      <c r="T87" s="412"/>
      <c r="U87" s="412"/>
    </row>
    <row r="88" spans="1:21" s="413" customFormat="1" ht="12.75">
      <c r="A88" s="404"/>
      <c r="B88" s="405"/>
      <c r="C88" s="406"/>
      <c r="D88" s="407"/>
      <c r="E88" s="408"/>
      <c r="F88" s="407"/>
      <c r="G88" s="414"/>
      <c r="H88" s="409"/>
      <c r="I88" s="414"/>
      <c r="J88" s="414"/>
      <c r="K88" s="410"/>
      <c r="L88" s="411"/>
      <c r="M88" s="411"/>
      <c r="N88" s="410"/>
      <c r="O88" s="412"/>
      <c r="P88" s="412"/>
      <c r="Q88" s="412"/>
      <c r="R88" s="412"/>
      <c r="S88" s="412"/>
      <c r="T88" s="412"/>
      <c r="U88" s="412"/>
    </row>
    <row r="89" spans="1:21" s="413" customFormat="1" ht="12.75">
      <c r="A89" s="404"/>
      <c r="B89" s="405"/>
      <c r="C89" s="406"/>
      <c r="D89" s="407"/>
      <c r="E89" s="408"/>
      <c r="F89" s="407"/>
      <c r="G89" s="407"/>
      <c r="H89" s="409"/>
      <c r="I89" s="414"/>
      <c r="J89" s="414"/>
      <c r="K89" s="410"/>
      <c r="L89" s="411"/>
      <c r="M89" s="411"/>
      <c r="N89" s="410"/>
      <c r="O89" s="412"/>
      <c r="P89" s="412"/>
      <c r="Q89" s="412"/>
      <c r="R89" s="412"/>
      <c r="S89" s="412"/>
      <c r="T89" s="412"/>
      <c r="U89" s="412"/>
    </row>
    <row r="90" spans="1:21" s="413" customFormat="1" ht="12.75">
      <c r="A90" s="404"/>
      <c r="B90" s="405"/>
      <c r="C90" s="406"/>
      <c r="D90" s="407"/>
      <c r="E90" s="408"/>
      <c r="F90" s="407"/>
      <c r="G90" s="414"/>
      <c r="H90" s="409"/>
      <c r="I90" s="414"/>
      <c r="J90" s="414"/>
      <c r="K90" s="410"/>
      <c r="L90" s="411"/>
      <c r="M90" s="411"/>
      <c r="N90" s="410"/>
      <c r="O90" s="412"/>
      <c r="P90" s="412"/>
      <c r="Q90" s="412"/>
      <c r="R90" s="412"/>
      <c r="S90" s="412"/>
      <c r="T90" s="412"/>
      <c r="U90" s="412"/>
    </row>
    <row r="91" spans="1:21" s="413" customFormat="1" ht="12.75">
      <c r="A91" s="404"/>
      <c r="B91" s="405"/>
      <c r="C91" s="406"/>
      <c r="D91" s="407"/>
      <c r="E91" s="408"/>
      <c r="F91" s="407"/>
      <c r="G91" s="407"/>
      <c r="H91" s="409"/>
      <c r="I91" s="414"/>
      <c r="J91" s="414"/>
      <c r="K91" s="410"/>
      <c r="L91" s="411"/>
      <c r="M91" s="411"/>
      <c r="N91" s="410"/>
      <c r="O91" s="412"/>
      <c r="P91" s="412"/>
      <c r="Q91" s="412"/>
      <c r="R91" s="412"/>
      <c r="S91" s="412"/>
      <c r="T91" s="412"/>
      <c r="U91" s="412"/>
    </row>
    <row r="92" spans="1:21" s="413" customFormat="1" ht="12.75">
      <c r="A92" s="404"/>
      <c r="B92" s="405"/>
      <c r="C92" s="406"/>
      <c r="D92" s="407"/>
      <c r="E92" s="408"/>
      <c r="F92" s="407"/>
      <c r="G92" s="414"/>
      <c r="H92" s="409"/>
      <c r="I92" s="414"/>
      <c r="J92" s="414"/>
      <c r="K92" s="410"/>
      <c r="L92" s="411"/>
      <c r="M92" s="411"/>
      <c r="N92" s="410"/>
      <c r="O92" s="412"/>
      <c r="P92" s="412"/>
      <c r="Q92" s="412"/>
      <c r="R92" s="412"/>
      <c r="S92" s="412"/>
      <c r="T92" s="412"/>
      <c r="U92" s="412"/>
    </row>
    <row r="93" spans="1:21" s="413" customFormat="1" ht="12.75">
      <c r="A93" s="404"/>
      <c r="B93" s="405"/>
      <c r="C93" s="406"/>
      <c r="D93" s="407"/>
      <c r="E93" s="408"/>
      <c r="F93" s="407"/>
      <c r="G93" s="407"/>
      <c r="H93" s="409"/>
      <c r="I93" s="414"/>
      <c r="J93" s="414"/>
      <c r="K93" s="410"/>
      <c r="L93" s="411"/>
      <c r="M93" s="411"/>
      <c r="N93" s="410"/>
      <c r="O93" s="412"/>
      <c r="P93" s="412"/>
      <c r="Q93" s="412"/>
      <c r="R93" s="412"/>
      <c r="S93" s="412"/>
      <c r="T93" s="412"/>
      <c r="U93" s="412"/>
    </row>
    <row r="94" spans="1:21" s="413" customFormat="1" ht="12.75">
      <c r="A94" s="404"/>
      <c r="B94" s="405"/>
      <c r="C94" s="406"/>
      <c r="D94" s="407"/>
      <c r="E94" s="408"/>
      <c r="F94" s="407"/>
      <c r="G94" s="407"/>
      <c r="H94" s="409"/>
      <c r="I94" s="414"/>
      <c r="J94" s="414"/>
      <c r="K94" s="410"/>
      <c r="L94" s="411"/>
      <c r="M94" s="411"/>
      <c r="N94" s="410"/>
      <c r="O94" s="412"/>
      <c r="P94" s="412"/>
      <c r="Q94" s="412"/>
      <c r="R94" s="412"/>
      <c r="S94" s="412"/>
      <c r="T94" s="412"/>
      <c r="U94" s="412"/>
    </row>
    <row r="95" spans="1:21" s="413" customFormat="1" ht="12.75">
      <c r="A95" s="404"/>
      <c r="B95" s="405"/>
      <c r="C95" s="406"/>
      <c r="D95" s="407"/>
      <c r="E95" s="408"/>
      <c r="F95" s="407"/>
      <c r="G95" s="414"/>
      <c r="H95" s="409"/>
      <c r="I95" s="414"/>
      <c r="J95" s="414"/>
      <c r="K95" s="410"/>
      <c r="L95" s="411"/>
      <c r="M95" s="411"/>
      <c r="N95" s="410"/>
      <c r="O95" s="412"/>
      <c r="P95" s="412"/>
      <c r="Q95" s="412"/>
      <c r="R95" s="412"/>
      <c r="S95" s="412"/>
      <c r="T95" s="412"/>
      <c r="U95" s="412"/>
    </row>
    <row r="96" spans="1:21" s="413" customFormat="1" ht="12.75">
      <c r="A96" s="404"/>
      <c r="B96" s="405"/>
      <c r="C96" s="406"/>
      <c r="D96" s="407"/>
      <c r="E96" s="408"/>
      <c r="F96" s="407"/>
      <c r="G96" s="414"/>
      <c r="H96" s="409"/>
      <c r="I96" s="414"/>
      <c r="J96" s="414"/>
      <c r="K96" s="410"/>
      <c r="L96" s="411"/>
      <c r="M96" s="411"/>
      <c r="N96" s="410"/>
      <c r="O96" s="412"/>
      <c r="P96" s="412"/>
      <c r="Q96" s="412"/>
      <c r="R96" s="412"/>
      <c r="S96" s="412"/>
      <c r="T96" s="412"/>
      <c r="U96" s="412"/>
    </row>
    <row r="97" spans="1:21" s="413" customFormat="1" ht="12.75">
      <c r="A97" s="404"/>
      <c r="B97" s="405"/>
      <c r="C97" s="406"/>
      <c r="D97" s="407"/>
      <c r="E97" s="408"/>
      <c r="F97" s="407"/>
      <c r="G97" s="414"/>
      <c r="H97" s="409"/>
      <c r="I97" s="414"/>
      <c r="J97" s="414"/>
      <c r="K97" s="410"/>
      <c r="L97" s="411"/>
      <c r="M97" s="411"/>
      <c r="N97" s="410"/>
      <c r="O97" s="412"/>
      <c r="P97" s="412"/>
      <c r="Q97" s="412"/>
      <c r="R97" s="412"/>
      <c r="S97" s="412"/>
      <c r="T97" s="412"/>
      <c r="U97" s="412"/>
    </row>
    <row r="98" spans="1:21" s="413" customFormat="1" ht="12.75">
      <c r="A98" s="404"/>
      <c r="B98" s="405"/>
      <c r="C98" s="406"/>
      <c r="D98" s="407"/>
      <c r="E98" s="415"/>
      <c r="F98" s="407"/>
      <c r="G98" s="414"/>
      <c r="H98" s="409"/>
      <c r="I98" s="414"/>
      <c r="J98" s="414"/>
      <c r="K98" s="410"/>
      <c r="L98" s="411"/>
      <c r="M98" s="411"/>
      <c r="N98" s="410"/>
      <c r="O98" s="412"/>
      <c r="P98" s="412"/>
      <c r="Q98" s="412"/>
      <c r="R98" s="412"/>
      <c r="S98" s="412"/>
      <c r="T98" s="412"/>
      <c r="U98" s="412"/>
    </row>
    <row r="99" spans="1:21" s="413" customFormat="1" ht="12.75">
      <c r="A99" s="404"/>
      <c r="B99" s="405"/>
      <c r="C99" s="406"/>
      <c r="D99" s="407"/>
      <c r="E99" s="415"/>
      <c r="F99" s="407"/>
      <c r="G99" s="414"/>
      <c r="H99" s="409"/>
      <c r="I99" s="414"/>
      <c r="J99" s="414"/>
      <c r="K99" s="410"/>
      <c r="L99" s="411"/>
      <c r="M99" s="411"/>
      <c r="N99" s="410"/>
      <c r="O99" s="412"/>
      <c r="P99" s="412"/>
      <c r="Q99" s="412"/>
      <c r="R99" s="412"/>
      <c r="S99" s="412"/>
      <c r="T99" s="412"/>
      <c r="U99" s="412"/>
    </row>
    <row r="100" spans="1:21" s="413" customFormat="1" ht="12.75">
      <c r="A100" s="404"/>
      <c r="B100" s="405"/>
      <c r="C100" s="406"/>
      <c r="D100" s="407"/>
      <c r="E100" s="415"/>
      <c r="F100" s="407"/>
      <c r="G100" s="414"/>
      <c r="H100" s="409"/>
      <c r="I100" s="414"/>
      <c r="J100" s="414"/>
      <c r="K100" s="410"/>
      <c r="L100" s="411"/>
      <c r="M100" s="411"/>
      <c r="N100" s="410"/>
      <c r="O100" s="412"/>
      <c r="P100" s="412"/>
      <c r="Q100" s="412"/>
      <c r="R100" s="412"/>
      <c r="S100" s="412"/>
      <c r="T100" s="412"/>
      <c r="U100" s="412"/>
    </row>
    <row r="101" spans="1:21" s="413" customFormat="1" ht="12.75">
      <c r="A101" s="404"/>
      <c r="B101" s="405"/>
      <c r="C101" s="406"/>
      <c r="D101" s="407"/>
      <c r="E101" s="415"/>
      <c r="F101" s="407"/>
      <c r="G101" s="414"/>
      <c r="H101" s="409"/>
      <c r="I101" s="414"/>
      <c r="J101" s="414"/>
      <c r="K101" s="410"/>
      <c r="L101" s="411"/>
      <c r="M101" s="411"/>
      <c r="N101" s="410"/>
      <c r="O101" s="412"/>
      <c r="P101" s="412"/>
      <c r="Q101" s="412"/>
      <c r="R101" s="412"/>
      <c r="S101" s="412"/>
      <c r="T101" s="412"/>
      <c r="U101" s="412"/>
    </row>
    <row r="102" spans="1:21" s="413" customFormat="1" ht="12.75">
      <c r="A102" s="404"/>
      <c r="B102" s="405"/>
      <c r="C102" s="406"/>
      <c r="D102" s="407"/>
      <c r="E102" s="415"/>
      <c r="F102" s="407"/>
      <c r="G102" s="414"/>
      <c r="H102" s="409"/>
      <c r="I102" s="414"/>
      <c r="J102" s="414"/>
      <c r="K102" s="410"/>
      <c r="L102" s="411"/>
      <c r="M102" s="411"/>
      <c r="N102" s="410"/>
      <c r="O102" s="412"/>
      <c r="P102" s="412"/>
      <c r="Q102" s="412"/>
      <c r="R102" s="412"/>
      <c r="S102" s="412"/>
      <c r="T102" s="412"/>
      <c r="U102" s="412"/>
    </row>
    <row r="103" spans="1:21" s="413" customFormat="1" ht="12.75">
      <c r="A103" s="404"/>
      <c r="B103" s="405"/>
      <c r="C103" s="406"/>
      <c r="D103" s="407"/>
      <c r="E103" s="415"/>
      <c r="F103" s="407"/>
      <c r="G103" s="414"/>
      <c r="H103" s="409"/>
      <c r="I103" s="414"/>
      <c r="J103" s="414"/>
      <c r="K103" s="410"/>
      <c r="L103" s="411"/>
      <c r="M103" s="411"/>
      <c r="N103" s="410"/>
      <c r="O103" s="412"/>
      <c r="P103" s="412"/>
      <c r="Q103" s="412"/>
      <c r="R103" s="412"/>
      <c r="S103" s="412"/>
      <c r="T103" s="412"/>
      <c r="U103" s="412"/>
    </row>
    <row r="104" spans="1:21" s="413" customFormat="1" ht="12.75">
      <c r="A104" s="404"/>
      <c r="B104" s="405"/>
      <c r="C104" s="406"/>
      <c r="D104" s="407"/>
      <c r="E104" s="415"/>
      <c r="F104" s="407"/>
      <c r="G104" s="414"/>
      <c r="H104" s="409"/>
      <c r="I104" s="414"/>
      <c r="J104" s="414"/>
      <c r="K104" s="410"/>
      <c r="L104" s="411"/>
      <c r="M104" s="411"/>
      <c r="N104" s="410"/>
      <c r="O104" s="412"/>
      <c r="P104" s="412"/>
      <c r="Q104" s="412"/>
      <c r="R104" s="412"/>
      <c r="S104" s="412"/>
      <c r="T104" s="412"/>
      <c r="U104" s="412"/>
    </row>
    <row r="105" spans="1:21" s="413" customFormat="1" ht="12.75">
      <c r="A105" s="404"/>
      <c r="B105" s="405"/>
      <c r="C105" s="406"/>
      <c r="D105" s="407"/>
      <c r="E105" s="415"/>
      <c r="F105" s="407"/>
      <c r="G105" s="414"/>
      <c r="H105" s="409"/>
      <c r="I105" s="414"/>
      <c r="J105" s="414"/>
      <c r="K105" s="410"/>
      <c r="L105" s="411"/>
      <c r="M105" s="411"/>
      <c r="N105" s="410"/>
      <c r="O105" s="412"/>
      <c r="P105" s="412"/>
      <c r="Q105" s="412"/>
      <c r="R105" s="412"/>
      <c r="S105" s="412"/>
      <c r="T105" s="412"/>
      <c r="U105" s="412"/>
    </row>
    <row r="106" spans="1:21" s="413" customFormat="1" ht="12.75">
      <c r="A106" s="404"/>
      <c r="B106" s="405"/>
      <c r="C106" s="416"/>
      <c r="D106" s="417"/>
      <c r="E106" s="415"/>
      <c r="F106" s="417"/>
      <c r="G106" s="417"/>
      <c r="H106" s="409"/>
      <c r="I106" s="414"/>
      <c r="J106" s="414"/>
      <c r="K106" s="410"/>
      <c r="L106" s="411"/>
      <c r="M106" s="411"/>
      <c r="N106" s="410"/>
      <c r="O106" s="412"/>
      <c r="P106" s="412"/>
      <c r="Q106" s="412"/>
      <c r="R106" s="412"/>
      <c r="S106" s="412"/>
      <c r="T106" s="412"/>
      <c r="U106" s="412"/>
    </row>
    <row r="107" spans="1:21" s="413" customFormat="1" ht="12.75">
      <c r="A107" s="404"/>
      <c r="B107" s="405"/>
      <c r="C107" s="416"/>
      <c r="D107" s="417"/>
      <c r="E107" s="415"/>
      <c r="F107" s="417"/>
      <c r="G107" s="417"/>
      <c r="H107" s="409"/>
      <c r="I107" s="414"/>
      <c r="J107" s="414"/>
      <c r="K107" s="418"/>
      <c r="L107" s="411"/>
      <c r="M107" s="411"/>
      <c r="N107" s="418"/>
      <c r="O107" s="418"/>
      <c r="P107" s="418"/>
      <c r="Q107" s="418"/>
      <c r="R107" s="418"/>
      <c r="S107" s="418"/>
      <c r="T107" s="418"/>
      <c r="U107" s="418"/>
    </row>
    <row r="108" spans="1:21" s="43" customFormat="1" ht="15">
      <c r="A108" s="4"/>
      <c r="B108" s="11"/>
      <c r="C108" s="46"/>
      <c r="D108" s="11"/>
      <c r="E108" s="11"/>
      <c r="F108" s="5"/>
      <c r="G108" s="5"/>
      <c r="H108" s="47"/>
      <c r="I108" s="47"/>
      <c r="J108" s="47"/>
      <c r="K108" s="245"/>
      <c r="L108" s="246"/>
      <c r="M108" s="246"/>
      <c r="N108" s="245"/>
      <c r="O108" s="245"/>
      <c r="P108" s="245"/>
      <c r="Q108" s="245"/>
      <c r="R108" s="245"/>
      <c r="S108" s="245"/>
      <c r="T108" s="245"/>
      <c r="U108" s="245"/>
    </row>
    <row r="109" spans="1:7" ht="12.75">
      <c r="A109" s="553"/>
      <c r="B109" s="553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5" ht="12.75">
      <c r="A111" s="36"/>
      <c r="D111" s="33"/>
      <c r="E111" s="33"/>
    </row>
    <row r="112" spans="1:5" ht="12.75">
      <c r="A112" s="36"/>
      <c r="D112" s="33"/>
      <c r="E112" s="33"/>
    </row>
    <row r="113" spans="1:5" ht="12.75">
      <c r="A113" s="36"/>
      <c r="D113" s="33"/>
      <c r="E113" s="33"/>
    </row>
    <row r="114" spans="1:5" ht="12.75">
      <c r="A114" s="36"/>
      <c r="D114" s="33"/>
      <c r="E114" s="33"/>
    </row>
    <row r="115" spans="1:5" ht="12.75">
      <c r="A115" s="36"/>
      <c r="D115" s="33"/>
      <c r="E115" s="33"/>
    </row>
    <row r="116" spans="1:5" ht="12.75">
      <c r="A116" s="36"/>
      <c r="D116" s="33"/>
      <c r="E116" s="33"/>
    </row>
    <row r="117" spans="1:5" ht="12.75">
      <c r="A117" s="36"/>
      <c r="B117" s="304"/>
      <c r="D117" s="33"/>
      <c r="E117" s="33"/>
    </row>
    <row r="118" spans="1:5" ht="12.75">
      <c r="A118" s="36"/>
      <c r="D118" s="33"/>
      <c r="E118" s="33"/>
    </row>
    <row r="119" spans="1:5" ht="12.75">
      <c r="A119" s="36"/>
      <c r="D119" s="33"/>
      <c r="E119" s="33"/>
    </row>
    <row r="120" spans="1:13" s="188" customFormat="1" ht="12.75" hidden="1">
      <c r="A120" s="311"/>
      <c r="C120" s="188">
        <f>65-COUNTIF(C8:C72,"")</f>
        <v>0</v>
      </c>
      <c r="D120" s="343"/>
      <c r="E120" s="343"/>
      <c r="H120" s="493">
        <f>65-COUNTIF(H8:H72,"")</f>
        <v>0</v>
      </c>
      <c r="L120" s="312"/>
      <c r="M120" s="312"/>
    </row>
    <row r="121" spans="1:5" ht="12.75">
      <c r="A121" s="36"/>
      <c r="D121" s="33"/>
      <c r="E121" s="33"/>
    </row>
    <row r="122" spans="1:5" ht="12.75">
      <c r="A122" s="36"/>
      <c r="D122" s="33"/>
      <c r="E122" s="33"/>
    </row>
    <row r="123" spans="1:5" ht="12.75">
      <c r="A123" s="36"/>
      <c r="D123" s="33"/>
      <c r="E123" s="33"/>
    </row>
    <row r="124" spans="1:5" ht="12.75">
      <c r="A124" s="36"/>
      <c r="D124" s="33"/>
      <c r="E124" s="33"/>
    </row>
    <row r="125" spans="1:5" ht="12.75">
      <c r="A125" s="36"/>
      <c r="D125" s="33"/>
      <c r="E125" s="33"/>
    </row>
    <row r="126" spans="1:5" ht="12.75">
      <c r="A126" s="36"/>
      <c r="D126" s="33"/>
      <c r="E126" s="33"/>
    </row>
    <row r="127" spans="1:5" ht="12.75">
      <c r="A127" s="36"/>
      <c r="D127" s="33"/>
      <c r="E127" s="33"/>
    </row>
    <row r="128" spans="1:5" ht="12.75">
      <c r="A128" s="36"/>
      <c r="D128" s="33"/>
      <c r="E128" s="33"/>
    </row>
    <row r="129" spans="1:5" ht="12.75">
      <c r="A129" s="36"/>
      <c r="D129" s="33"/>
      <c r="E129" s="33"/>
    </row>
    <row r="130" spans="1:5" ht="12.75">
      <c r="A130" s="36"/>
      <c r="D130" s="33"/>
      <c r="E130" s="33"/>
    </row>
    <row r="131" spans="1:5" ht="12.75">
      <c r="A131" s="36"/>
      <c r="D131" s="33"/>
      <c r="E131" s="33"/>
    </row>
    <row r="132" spans="1:5" ht="12.75">
      <c r="A132" s="36"/>
      <c r="D132" s="33"/>
      <c r="E132" s="33"/>
    </row>
    <row r="133" spans="1:5" ht="12.75">
      <c r="A133" s="36"/>
      <c r="D133" s="33"/>
      <c r="E133" s="33"/>
    </row>
    <row r="134" spans="1:5" ht="12.75">
      <c r="A134" s="36"/>
      <c r="D134" s="33"/>
      <c r="E134" s="33"/>
    </row>
    <row r="135" spans="1:5" ht="12.75">
      <c r="A135" s="36"/>
      <c r="D135" s="33"/>
      <c r="E135" s="33"/>
    </row>
    <row r="136" spans="1:5" ht="12.75">
      <c r="A136" s="36"/>
      <c r="D136" s="33"/>
      <c r="E136" s="33"/>
    </row>
    <row r="137" spans="1:5" ht="12.75">
      <c r="A137" s="36"/>
      <c r="D137" s="33"/>
      <c r="E137" s="33"/>
    </row>
    <row r="138" spans="1:5" ht="12.75">
      <c r="A138" s="36"/>
      <c r="D138" s="33"/>
      <c r="E138" s="33"/>
    </row>
    <row r="139" spans="1:5" ht="12.75">
      <c r="A139" s="36"/>
      <c r="D139" s="33"/>
      <c r="E139" s="33"/>
    </row>
    <row r="140" spans="1:5" ht="12.75">
      <c r="A140" s="36"/>
      <c r="D140" s="33"/>
      <c r="E140" s="33"/>
    </row>
    <row r="141" spans="1:5" ht="12.75">
      <c r="A141" s="36"/>
      <c r="D141" s="33"/>
      <c r="E141" s="33"/>
    </row>
    <row r="142" spans="1:5" ht="12.75">
      <c r="A142" s="36"/>
      <c r="D142" s="33"/>
      <c r="E142" s="33"/>
    </row>
    <row r="143" spans="1:5" ht="12.75">
      <c r="A143" s="36"/>
      <c r="D143" s="33"/>
      <c r="E143" s="33"/>
    </row>
    <row r="144" spans="1:5" ht="12.75">
      <c r="A144" s="36"/>
      <c r="D144" s="33"/>
      <c r="E144" s="33"/>
    </row>
    <row r="145" spans="1:5" ht="12.75">
      <c r="A145" s="36"/>
      <c r="D145" s="33"/>
      <c r="E145" s="33"/>
    </row>
    <row r="146" spans="1:5" ht="12.75">
      <c r="A146" s="36"/>
      <c r="D146" s="33"/>
      <c r="E146" s="33"/>
    </row>
    <row r="147" spans="1:5" ht="12.75">
      <c r="A147" s="36"/>
      <c r="D147" s="33"/>
      <c r="E147" s="33"/>
    </row>
    <row r="148" spans="1:5" ht="12.75">
      <c r="A148" s="36"/>
      <c r="D148" s="33"/>
      <c r="E148" s="33"/>
    </row>
    <row r="149" spans="1:5" ht="12.75">
      <c r="A149" s="36"/>
      <c r="D149" s="33"/>
      <c r="E149" s="33"/>
    </row>
    <row r="150" spans="1:5" ht="12.75">
      <c r="A150" s="36"/>
      <c r="D150" s="33"/>
      <c r="E150" s="33"/>
    </row>
    <row r="151" spans="1:5" ht="12.75">
      <c r="A151" s="36"/>
      <c r="D151" s="33"/>
      <c r="E151" s="33"/>
    </row>
    <row r="152" spans="1:5" ht="12.75">
      <c r="A152" s="36"/>
      <c r="D152" s="33"/>
      <c r="E152" s="33"/>
    </row>
    <row r="153" spans="1:5" ht="12.75">
      <c r="A153" s="36"/>
      <c r="D153" s="33"/>
      <c r="E153" s="33"/>
    </row>
    <row r="154" spans="1:5" ht="12.75">
      <c r="A154" s="36"/>
      <c r="D154" s="33"/>
      <c r="E154" s="33"/>
    </row>
    <row r="155" spans="1:5" ht="12.75">
      <c r="A155" s="36"/>
      <c r="D155" s="33"/>
      <c r="E155" s="33"/>
    </row>
    <row r="156" spans="1:5" ht="12.75">
      <c r="A156" s="36"/>
      <c r="D156" s="33"/>
      <c r="E156" s="33"/>
    </row>
    <row r="157" spans="1:5" ht="12.75">
      <c r="A157" s="36"/>
      <c r="D157" s="33"/>
      <c r="E157" s="33"/>
    </row>
    <row r="158" spans="1:5" ht="12.75">
      <c r="A158" s="36"/>
      <c r="D158" s="33"/>
      <c r="E158" s="33"/>
    </row>
    <row r="159" spans="1:5" ht="12.75">
      <c r="A159" s="36"/>
      <c r="D159" s="33"/>
      <c r="E159" s="33"/>
    </row>
    <row r="160" spans="1:5" ht="12.75">
      <c r="A160" s="36"/>
      <c r="D160" s="33"/>
      <c r="E160" s="33"/>
    </row>
    <row r="161" spans="1:5" ht="12.75">
      <c r="A161" s="36"/>
      <c r="D161" s="33"/>
      <c r="E161" s="33"/>
    </row>
    <row r="162" spans="1:5" ht="12.75">
      <c r="A162" s="36"/>
      <c r="D162" s="33"/>
      <c r="E162" s="33"/>
    </row>
    <row r="163" spans="1:5" ht="12.75">
      <c r="A163" s="36"/>
      <c r="D163" s="33"/>
      <c r="E163" s="33"/>
    </row>
    <row r="164" spans="1:5" ht="12.75">
      <c r="A164" s="36"/>
      <c r="D164" s="33"/>
      <c r="E164" s="33"/>
    </row>
    <row r="165" spans="1:5" ht="12.75">
      <c r="A165" s="36"/>
      <c r="D165" s="33"/>
      <c r="E165" s="33"/>
    </row>
    <row r="166" spans="1:5" ht="12.75">
      <c r="A166" s="36"/>
      <c r="D166" s="33"/>
      <c r="E166" s="33"/>
    </row>
    <row r="167" spans="1:5" ht="12.75">
      <c r="A167" s="36"/>
      <c r="D167" s="33"/>
      <c r="E167" s="33"/>
    </row>
    <row r="168" spans="1:5" ht="12.75">
      <c r="A168" s="36"/>
      <c r="D168" s="33"/>
      <c r="E168" s="33"/>
    </row>
    <row r="169" spans="1:5" ht="12.75">
      <c r="A169" s="36"/>
      <c r="D169" s="33"/>
      <c r="E169" s="33"/>
    </row>
    <row r="170" spans="1:5" ht="12.75">
      <c r="A170" s="36"/>
      <c r="D170" s="33"/>
      <c r="E170" s="33"/>
    </row>
    <row r="171" spans="1:5" ht="12.75">
      <c r="A171" s="36"/>
      <c r="D171" s="33"/>
      <c r="E171" s="33"/>
    </row>
    <row r="172" spans="1:5" ht="12.75">
      <c r="A172" s="36"/>
      <c r="D172" s="33"/>
      <c r="E172" s="33"/>
    </row>
    <row r="173" spans="1:5" ht="12.75">
      <c r="A173" s="36"/>
      <c r="D173" s="33"/>
      <c r="E173" s="33"/>
    </row>
    <row r="174" spans="1:5" ht="12.75">
      <c r="A174" s="36"/>
      <c r="D174" s="33"/>
      <c r="E174" s="33"/>
    </row>
    <row r="175" spans="1:5" ht="12.75">
      <c r="A175" s="36"/>
      <c r="D175" s="33"/>
      <c r="E175" s="33"/>
    </row>
    <row r="176" spans="1:5" ht="12.75">
      <c r="A176" s="36"/>
      <c r="D176" s="33"/>
      <c r="E176" s="33"/>
    </row>
    <row r="177" spans="1:5" ht="12.75">
      <c r="A177" s="36"/>
      <c r="D177" s="33"/>
      <c r="E177" s="33"/>
    </row>
    <row r="178" spans="1:5" ht="12.75">
      <c r="A178" s="36"/>
      <c r="D178" s="33"/>
      <c r="E178" s="33"/>
    </row>
    <row r="179" spans="1:5" ht="12.75">
      <c r="A179" s="36"/>
      <c r="D179" s="33"/>
      <c r="E179" s="33"/>
    </row>
    <row r="180" spans="1:5" ht="12.75">
      <c r="A180" s="36"/>
      <c r="D180" s="33"/>
      <c r="E180" s="33"/>
    </row>
    <row r="181" spans="1:5" ht="12.75">
      <c r="A181" s="36"/>
      <c r="D181" s="33"/>
      <c r="E181" s="33"/>
    </row>
    <row r="182" spans="1:5" ht="12.75">
      <c r="A182" s="36"/>
      <c r="D182" s="33"/>
      <c r="E182" s="33"/>
    </row>
    <row r="183" spans="1:5" ht="12.75">
      <c r="A183" s="36"/>
      <c r="D183" s="33"/>
      <c r="E183" s="33"/>
    </row>
    <row r="184" spans="1:5" ht="12.75">
      <c r="A184" s="36"/>
      <c r="D184" s="33"/>
      <c r="E184" s="33"/>
    </row>
    <row r="185" spans="1:5" ht="12.75">
      <c r="A185" s="36"/>
      <c r="D185" s="33"/>
      <c r="E185" s="33"/>
    </row>
    <row r="186" spans="1:5" ht="12.75">
      <c r="A186" s="36"/>
      <c r="D186" s="33"/>
      <c r="E186" s="33"/>
    </row>
    <row r="187" spans="1:5" ht="12.75">
      <c r="A187" s="36"/>
      <c r="D187" s="33"/>
      <c r="E187" s="33"/>
    </row>
    <row r="188" spans="1:5" ht="12.75">
      <c r="A188" s="36"/>
      <c r="D188" s="33"/>
      <c r="E188" s="33"/>
    </row>
    <row r="189" spans="1:5" ht="12.75">
      <c r="A189" s="36"/>
      <c r="D189" s="33"/>
      <c r="E189" s="33"/>
    </row>
    <row r="190" spans="1:5" ht="12.75">
      <c r="A190" s="36"/>
      <c r="D190" s="33"/>
      <c r="E190" s="33"/>
    </row>
    <row r="191" spans="1:5" ht="12.75">
      <c r="A191" s="36"/>
      <c r="D191" s="33"/>
      <c r="E191" s="33"/>
    </row>
    <row r="192" spans="1:5" ht="12.75">
      <c r="A192" s="36"/>
      <c r="D192" s="33"/>
      <c r="E192" s="33"/>
    </row>
    <row r="193" spans="1:5" ht="12.75">
      <c r="A193" s="36"/>
      <c r="D193" s="33"/>
      <c r="E193" s="33"/>
    </row>
    <row r="194" spans="1:5" ht="12.75">
      <c r="A194" s="36"/>
      <c r="D194" s="33"/>
      <c r="E194" s="33"/>
    </row>
    <row r="195" spans="1:5" ht="12.75">
      <c r="A195" s="36"/>
      <c r="D195" s="33"/>
      <c r="E195" s="33"/>
    </row>
    <row r="196" spans="1:5" ht="12.75">
      <c r="A196" s="36"/>
      <c r="D196" s="33"/>
      <c r="E196" s="33"/>
    </row>
    <row r="197" spans="1:5" ht="12.75">
      <c r="A197" s="36"/>
      <c r="D197" s="33"/>
      <c r="E197" s="33"/>
    </row>
    <row r="198" spans="1:5" ht="12.75">
      <c r="A198" s="33"/>
      <c r="D198" s="33"/>
      <c r="E198" s="33"/>
    </row>
    <row r="199" spans="1:5" ht="12.75">
      <c r="A199" s="33"/>
      <c r="D199" s="33"/>
      <c r="E199" s="33"/>
    </row>
    <row r="200" spans="1:5" ht="12.75">
      <c r="A200" s="33"/>
      <c r="D200" s="33"/>
      <c r="E200" s="33"/>
    </row>
    <row r="201" spans="1:5" ht="12.75">
      <c r="A201" s="33"/>
      <c r="D201" s="33"/>
      <c r="E201" s="33"/>
    </row>
    <row r="202" spans="1:5" ht="12.75">
      <c r="A202" s="33"/>
      <c r="D202" s="33"/>
      <c r="E202" s="33"/>
    </row>
    <row r="203" spans="1:5" ht="12.75">
      <c r="A203" s="33"/>
      <c r="D203" s="33"/>
      <c r="E203" s="33"/>
    </row>
    <row r="204" spans="1:5" ht="12.75">
      <c r="A204" s="33"/>
      <c r="D204" s="33"/>
      <c r="E204" s="33"/>
    </row>
    <row r="205" spans="1:5" ht="12.75">
      <c r="A205" s="33"/>
      <c r="D205" s="33"/>
      <c r="E205" s="33"/>
    </row>
    <row r="206" spans="1:5" ht="12.75">
      <c r="A206" s="33"/>
      <c r="D206" s="33"/>
      <c r="E206" s="33"/>
    </row>
    <row r="207" spans="1:5" ht="12.75">
      <c r="A207" s="33"/>
      <c r="D207" s="33"/>
      <c r="E207" s="33"/>
    </row>
    <row r="208" spans="1:5" ht="12.75">
      <c r="A208" s="33"/>
      <c r="D208" s="33"/>
      <c r="E208" s="33"/>
    </row>
    <row r="209" spans="1:5" ht="12.75">
      <c r="A209" s="33"/>
      <c r="D209" s="33"/>
      <c r="E209" s="33"/>
    </row>
    <row r="210" spans="1:5" ht="12.75">
      <c r="A210" s="33"/>
      <c r="D210" s="33"/>
      <c r="E210" s="33"/>
    </row>
    <row r="211" spans="1:5" ht="12.75">
      <c r="A211" s="33"/>
      <c r="D211" s="33"/>
      <c r="E211" s="33"/>
    </row>
    <row r="212" spans="1:5" ht="12.75">
      <c r="A212" s="33"/>
      <c r="D212" s="33"/>
      <c r="E212" s="33"/>
    </row>
    <row r="213" spans="1:5" ht="12.75">
      <c r="A213" s="33"/>
      <c r="D213" s="33"/>
      <c r="E213" s="33"/>
    </row>
    <row r="214" spans="1:5" ht="12.75">
      <c r="A214" s="33"/>
      <c r="D214" s="33"/>
      <c r="E214" s="33"/>
    </row>
    <row r="215" spans="1:5" ht="12.75">
      <c r="A215" s="33"/>
      <c r="D215" s="33"/>
      <c r="E215" s="33"/>
    </row>
    <row r="216" spans="1:5" ht="12.75">
      <c r="A216" s="33"/>
      <c r="D216" s="33"/>
      <c r="E216" s="33"/>
    </row>
    <row r="217" spans="1:5" ht="12.75">
      <c r="A217" s="33"/>
      <c r="D217" s="33"/>
      <c r="E217" s="33"/>
    </row>
    <row r="218" spans="1:5" ht="12.75">
      <c r="A218" s="33"/>
      <c r="D218" s="33"/>
      <c r="E218" s="33"/>
    </row>
    <row r="219" spans="1:5" ht="12.75">
      <c r="A219" s="33"/>
      <c r="D219" s="33"/>
      <c r="E219" s="33"/>
    </row>
    <row r="220" spans="1:5" ht="12.75">
      <c r="A220" s="33"/>
      <c r="D220" s="33"/>
      <c r="E220" s="33"/>
    </row>
    <row r="221" spans="1:5" ht="12.75">
      <c r="A221" s="33"/>
      <c r="D221" s="33"/>
      <c r="E221" s="33"/>
    </row>
    <row r="222" spans="1:5" ht="12.75">
      <c r="A222" s="33"/>
      <c r="D222" s="33"/>
      <c r="E222" s="33"/>
    </row>
    <row r="223" spans="1:5" ht="12.75">
      <c r="A223" s="33"/>
      <c r="D223" s="33"/>
      <c r="E223" s="33"/>
    </row>
    <row r="224" spans="1:5" ht="12.75">
      <c r="A224" s="33"/>
      <c r="D224" s="33"/>
      <c r="E224" s="33"/>
    </row>
    <row r="225" spans="1:5" ht="12.75">
      <c r="A225" s="33"/>
      <c r="D225" s="33"/>
      <c r="E225" s="33"/>
    </row>
    <row r="226" spans="1:5" ht="12.75">
      <c r="A226" s="33"/>
      <c r="D226" s="33"/>
      <c r="E226" s="33"/>
    </row>
    <row r="227" spans="1:5" ht="12.75">
      <c r="A227" s="33"/>
      <c r="D227" s="33"/>
      <c r="E227" s="33"/>
    </row>
    <row r="228" spans="1:5" ht="12.75">
      <c r="A228" s="33"/>
      <c r="D228" s="33"/>
      <c r="E228" s="33"/>
    </row>
    <row r="229" spans="1:5" ht="12.75">
      <c r="A229" s="33"/>
      <c r="D229" s="33"/>
      <c r="E229" s="33"/>
    </row>
    <row r="230" spans="1:5" ht="12.75">
      <c r="A230" s="33"/>
      <c r="D230" s="33"/>
      <c r="E230" s="33"/>
    </row>
    <row r="231" spans="1:5" ht="12.75">
      <c r="A231" s="33"/>
      <c r="D231" s="33"/>
      <c r="E231" s="33"/>
    </row>
    <row r="232" spans="1:5" ht="12.75">
      <c r="A232" s="33"/>
      <c r="D232" s="33"/>
      <c r="E232" s="33"/>
    </row>
    <row r="233" spans="1:5" ht="12.75">
      <c r="A233" s="33"/>
      <c r="D233" s="33"/>
      <c r="E233" s="33"/>
    </row>
    <row r="234" spans="1:5" ht="12.75">
      <c r="A234" s="33"/>
      <c r="D234" s="33"/>
      <c r="E234" s="33"/>
    </row>
    <row r="235" spans="1:5" ht="12.75">
      <c r="A235" s="33"/>
      <c r="D235" s="33"/>
      <c r="E235" s="33"/>
    </row>
    <row r="236" spans="1:5" ht="12.75">
      <c r="A236" s="33"/>
      <c r="D236" s="33"/>
      <c r="E236" s="33"/>
    </row>
    <row r="237" spans="1:5" ht="12.75">
      <c r="A237" s="33"/>
      <c r="D237" s="33"/>
      <c r="E237" s="33"/>
    </row>
    <row r="238" spans="1:5" ht="12.75">
      <c r="A238" s="33"/>
      <c r="D238" s="33"/>
      <c r="E238" s="33"/>
    </row>
    <row r="239" spans="1:5" ht="12.75">
      <c r="A239" s="33"/>
      <c r="D239" s="33"/>
      <c r="E239" s="33"/>
    </row>
    <row r="240" spans="1:5" ht="12.75">
      <c r="A240" s="33"/>
      <c r="D240" s="33"/>
      <c r="E240" s="33"/>
    </row>
    <row r="241" spans="1:5" ht="12.75">
      <c r="A241" s="33"/>
      <c r="D241" s="33"/>
      <c r="E241" s="33"/>
    </row>
    <row r="242" spans="1:5" ht="12.75">
      <c r="A242" s="33"/>
      <c r="D242" s="33"/>
      <c r="E242" s="33"/>
    </row>
    <row r="243" spans="1:5" ht="12.75">
      <c r="A243" s="33"/>
      <c r="D243" s="33"/>
      <c r="E243" s="33"/>
    </row>
    <row r="244" spans="1:5" ht="12.75">
      <c r="A244" s="33"/>
      <c r="D244" s="33"/>
      <c r="E244" s="33"/>
    </row>
    <row r="245" spans="1:5" ht="12.75">
      <c r="A245" s="33"/>
      <c r="D245" s="33"/>
      <c r="E245" s="33"/>
    </row>
    <row r="246" spans="1:5" ht="12.75">
      <c r="A246" s="33"/>
      <c r="D246" s="33"/>
      <c r="E246" s="33"/>
    </row>
    <row r="247" spans="1:5" ht="12.75">
      <c r="A247" s="33"/>
      <c r="D247" s="33"/>
      <c r="E247" s="33"/>
    </row>
    <row r="248" spans="1:5" ht="12.75">
      <c r="A248" s="33"/>
      <c r="D248" s="33"/>
      <c r="E248" s="33"/>
    </row>
    <row r="249" spans="1:5" ht="12.75">
      <c r="A249" s="33"/>
      <c r="D249" s="33"/>
      <c r="E249" s="33"/>
    </row>
    <row r="250" spans="1:5" ht="12.75">
      <c r="A250" s="33"/>
      <c r="D250" s="33"/>
      <c r="E250" s="33"/>
    </row>
    <row r="251" spans="1:5" ht="12.75">
      <c r="A251" s="33"/>
      <c r="D251" s="33"/>
      <c r="E251" s="33"/>
    </row>
    <row r="252" spans="1:5" ht="12.75">
      <c r="A252" s="33"/>
      <c r="D252" s="33"/>
      <c r="E252" s="33"/>
    </row>
    <row r="253" spans="1:5" ht="12.75">
      <c r="A253" s="33"/>
      <c r="D253" s="33"/>
      <c r="E253" s="33"/>
    </row>
    <row r="254" spans="1:5" ht="12.75">
      <c r="A254" s="33"/>
      <c r="D254" s="33"/>
      <c r="E254" s="33"/>
    </row>
    <row r="255" spans="1:5" ht="12.75">
      <c r="A255" s="33"/>
      <c r="D255" s="33"/>
      <c r="E255" s="33"/>
    </row>
    <row r="256" spans="1:5" ht="12.75">
      <c r="A256" s="33"/>
      <c r="D256" s="33"/>
      <c r="E256" s="33"/>
    </row>
    <row r="257" spans="1:5" ht="12.75">
      <c r="A257" s="33"/>
      <c r="D257" s="33"/>
      <c r="E257" s="33"/>
    </row>
    <row r="258" spans="1:5" ht="12.75">
      <c r="A258" s="33"/>
      <c r="D258" s="33"/>
      <c r="E258" s="33"/>
    </row>
    <row r="259" spans="1:5" ht="12.75">
      <c r="A259" s="33"/>
      <c r="D259" s="33"/>
      <c r="E259" s="33"/>
    </row>
    <row r="260" spans="1:5" ht="12.75">
      <c r="A260" s="33"/>
      <c r="D260" s="33"/>
      <c r="E260" s="33"/>
    </row>
    <row r="261" spans="1:5" ht="12.75">
      <c r="A261" s="33"/>
      <c r="D261" s="33"/>
      <c r="E261" s="33"/>
    </row>
    <row r="262" spans="1:5" ht="12.75">
      <c r="A262" s="33"/>
      <c r="D262" s="33"/>
      <c r="E262" s="33"/>
    </row>
    <row r="263" spans="1:5" ht="12.75">
      <c r="A263" s="33"/>
      <c r="D263" s="33"/>
      <c r="E263" s="33"/>
    </row>
    <row r="264" spans="1:5" ht="12.75">
      <c r="A264" s="33"/>
      <c r="D264" s="33"/>
      <c r="E264" s="33"/>
    </row>
    <row r="265" spans="1:5" ht="12.75">
      <c r="A265" s="33"/>
      <c r="D265" s="33"/>
      <c r="E265" s="33"/>
    </row>
    <row r="266" spans="1:5" ht="12.75">
      <c r="A266" s="33"/>
      <c r="D266" s="33"/>
      <c r="E266" s="33"/>
    </row>
    <row r="267" spans="1:5" ht="12.75">
      <c r="A267" s="33"/>
      <c r="D267" s="33"/>
      <c r="E267" s="33"/>
    </row>
    <row r="268" spans="1:5" ht="12.75">
      <c r="A268" s="33"/>
      <c r="D268" s="33"/>
      <c r="E268" s="33"/>
    </row>
    <row r="269" spans="1:5" ht="12.75">
      <c r="A269" s="33"/>
      <c r="D269" s="33"/>
      <c r="E269" s="33"/>
    </row>
    <row r="270" spans="1:5" ht="12.75">
      <c r="A270" s="33"/>
      <c r="D270" s="33"/>
      <c r="E270" s="33"/>
    </row>
    <row r="271" spans="1:5" ht="12.75">
      <c r="A271" s="33"/>
      <c r="D271" s="33"/>
      <c r="E271" s="33"/>
    </row>
    <row r="272" spans="1:5" ht="12.75">
      <c r="A272" s="33"/>
      <c r="D272" s="33"/>
      <c r="E272" s="33"/>
    </row>
    <row r="273" spans="1:5" ht="12.75">
      <c r="A273" s="33"/>
      <c r="D273" s="33"/>
      <c r="E273" s="33"/>
    </row>
    <row r="274" spans="1:5" ht="12.75">
      <c r="A274" s="33"/>
      <c r="D274" s="33"/>
      <c r="E274" s="33"/>
    </row>
    <row r="275" spans="1:5" ht="12.75">
      <c r="A275" s="33"/>
      <c r="D275" s="33"/>
      <c r="E275" s="33"/>
    </row>
    <row r="276" spans="1:5" ht="12.75">
      <c r="A276" s="33"/>
      <c r="D276" s="33"/>
      <c r="E276" s="33"/>
    </row>
    <row r="277" spans="1:5" ht="12.75">
      <c r="A277" s="33"/>
      <c r="D277" s="33"/>
      <c r="E277" s="33"/>
    </row>
    <row r="278" spans="1:5" ht="12.75">
      <c r="A278" s="33"/>
      <c r="D278" s="33"/>
      <c r="E278" s="33"/>
    </row>
    <row r="279" spans="1:5" ht="12.75">
      <c r="A279" s="33"/>
      <c r="D279" s="33"/>
      <c r="E279" s="33"/>
    </row>
    <row r="280" spans="1:5" ht="12.75">
      <c r="A280" s="33"/>
      <c r="D280" s="33"/>
      <c r="E280" s="33"/>
    </row>
    <row r="281" spans="1:5" ht="12.75">
      <c r="A281" s="33"/>
      <c r="D281" s="33"/>
      <c r="E281" s="33"/>
    </row>
    <row r="282" spans="1:5" ht="12.75">
      <c r="A282" s="33"/>
      <c r="D282" s="33"/>
      <c r="E282" s="33"/>
    </row>
    <row r="283" spans="1:5" ht="12.75">
      <c r="A283" s="33"/>
      <c r="D283" s="33"/>
      <c r="E283" s="33"/>
    </row>
    <row r="284" spans="1:5" ht="12.75">
      <c r="A284" s="33"/>
      <c r="D284" s="33"/>
      <c r="E284" s="33"/>
    </row>
    <row r="285" spans="1:5" ht="12.75">
      <c r="A285" s="33"/>
      <c r="D285" s="33"/>
      <c r="E285" s="33"/>
    </row>
    <row r="286" spans="1:5" ht="12.75">
      <c r="A286" s="33"/>
      <c r="D286" s="33"/>
      <c r="E286" s="33"/>
    </row>
    <row r="287" spans="1:5" ht="12.75">
      <c r="A287" s="33"/>
      <c r="D287" s="33"/>
      <c r="E287" s="33"/>
    </row>
    <row r="288" spans="1:5" ht="12.75">
      <c r="A288" s="33"/>
      <c r="D288" s="33"/>
      <c r="E288" s="33"/>
    </row>
    <row r="289" spans="1:5" ht="12.75">
      <c r="A289" s="33"/>
      <c r="D289" s="33"/>
      <c r="E289" s="33"/>
    </row>
    <row r="290" spans="1:5" ht="12.75">
      <c r="A290" s="33"/>
      <c r="D290" s="33"/>
      <c r="E290" s="33"/>
    </row>
    <row r="291" spans="1:5" ht="12.75">
      <c r="A291" s="33"/>
      <c r="D291" s="33"/>
      <c r="E291" s="33"/>
    </row>
    <row r="292" spans="1:5" ht="12.75">
      <c r="A292" s="33"/>
      <c r="D292" s="33"/>
      <c r="E292" s="33"/>
    </row>
    <row r="293" spans="1:5" ht="12.75">
      <c r="A293" s="33"/>
      <c r="D293" s="33"/>
      <c r="E293" s="33"/>
    </row>
    <row r="294" spans="1:5" ht="12.75">
      <c r="A294" s="33"/>
      <c r="D294" s="33"/>
      <c r="E294" s="33"/>
    </row>
    <row r="295" spans="1:5" ht="12.75">
      <c r="A295" s="33"/>
      <c r="D295" s="33"/>
      <c r="E295" s="33"/>
    </row>
    <row r="296" spans="1:5" ht="12.75">
      <c r="A296" s="33"/>
      <c r="D296" s="33"/>
      <c r="E296" s="33"/>
    </row>
    <row r="297" spans="1:5" ht="12.75">
      <c r="A297" s="33"/>
      <c r="D297" s="33"/>
      <c r="E297" s="33"/>
    </row>
    <row r="298" spans="1:5" ht="12.75">
      <c r="A298" s="33"/>
      <c r="D298" s="33"/>
      <c r="E298" s="33"/>
    </row>
    <row r="299" spans="1:5" ht="12.75">
      <c r="A299" s="33"/>
      <c r="D299" s="33"/>
      <c r="E299" s="33"/>
    </row>
    <row r="300" spans="1:5" ht="12.75">
      <c r="A300" s="33"/>
      <c r="D300" s="33"/>
      <c r="E300" s="33"/>
    </row>
    <row r="301" spans="1:5" ht="12.75">
      <c r="A301" s="33"/>
      <c r="D301" s="33"/>
      <c r="E301" s="33"/>
    </row>
    <row r="302" spans="1:5" ht="12.75">
      <c r="A302" s="33"/>
      <c r="D302" s="33"/>
      <c r="E302" s="33"/>
    </row>
    <row r="303" spans="1:5" ht="12.75">
      <c r="A303" s="33"/>
      <c r="D303" s="33"/>
      <c r="E303" s="33"/>
    </row>
    <row r="304" spans="1:5" ht="12.75">
      <c r="A304" s="33"/>
      <c r="D304" s="33"/>
      <c r="E304" s="33"/>
    </row>
    <row r="305" spans="1:5" ht="12.75">
      <c r="A305" s="33"/>
      <c r="D305" s="33"/>
      <c r="E305" s="33"/>
    </row>
    <row r="306" spans="1:5" ht="12.75">
      <c r="A306" s="33"/>
      <c r="D306" s="33"/>
      <c r="E306" s="33"/>
    </row>
    <row r="307" spans="1:5" ht="12.75">
      <c r="A307" s="33"/>
      <c r="D307" s="33"/>
      <c r="E307" s="33"/>
    </row>
    <row r="308" spans="1:5" ht="12.75">
      <c r="A308" s="33"/>
      <c r="D308" s="33"/>
      <c r="E308" s="33"/>
    </row>
    <row r="309" spans="1:5" ht="12.75">
      <c r="A309" s="33"/>
      <c r="D309" s="33"/>
      <c r="E309" s="33"/>
    </row>
  </sheetData>
  <sheetProtection sheet="1" objects="1" scenarios="1" selectLockedCells="1"/>
  <mergeCells count="5">
    <mergeCell ref="A109:B109"/>
    <mergeCell ref="D4:F4"/>
    <mergeCell ref="A1:J1"/>
    <mergeCell ref="A2:J2"/>
    <mergeCell ref="A3:J3"/>
  </mergeCells>
  <conditionalFormatting sqref="H73:H107">
    <cfRule type="expression" priority="1" dxfId="49" stopIfTrue="1">
      <formula>AND($K73&lt;&gt;0,$K73&lt;&gt;100)</formula>
    </cfRule>
  </conditionalFormatting>
  <conditionalFormatting sqref="I8:I107">
    <cfRule type="cellIs" priority="2" dxfId="50" operator="equal" stopIfTrue="1">
      <formula>"ск"</formula>
    </cfRule>
  </conditionalFormatting>
  <conditionalFormatting sqref="J8:J107">
    <cfRule type="cellIs" priority="3" dxfId="51" operator="equal" stopIfTrue="1">
      <formula>"ск"</formula>
    </cfRule>
  </conditionalFormatting>
  <conditionalFormatting sqref="H8:H72">
    <cfRule type="expression" priority="4" dxfId="49" stopIfTrue="1">
      <formula>AND($K8&lt;&gt;0,$K8&lt;&gt;2)</formula>
    </cfRule>
  </conditionalFormatting>
  <printOptions horizontalCentered="1"/>
  <pageMargins left="0.15" right="0.25" top="0.25" bottom="0.32" header="0.25" footer="0.26"/>
  <pageSetup fitToHeight="6" fitToWidth="1" horizontalDpi="600" verticalDpi="600" orientation="portrait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outlinePr summaryBelow="0" summaryRight="0"/>
    <pageSetUpPr fitToPage="1"/>
  </sheetPr>
  <dimension ref="A1:T70"/>
  <sheetViews>
    <sheetView showGridLines="0" showRowColHeaders="0" showOutlineSymbols="0" zoomScale="85" zoomScaleNormal="85" zoomScaleSheetLayoutView="100" zoomScalePageLayoutView="0" workbookViewId="0" topLeftCell="A1">
      <pane ySplit="11" topLeftCell="A12" activePane="bottomLeft" state="frozen"/>
      <selection pane="topLeft" activeCell="A5" sqref="A5:R5"/>
      <selection pane="bottomLeft" activeCell="E12" sqref="E12:G12"/>
    </sheetView>
  </sheetViews>
  <sheetFormatPr defaultColWidth="9.00390625" defaultRowHeight="12.75" customHeight="1"/>
  <cols>
    <col min="1" max="1" width="4.75390625" style="135" customWidth="1"/>
    <col min="2" max="2" width="4.75390625" style="124" customWidth="1"/>
    <col min="3" max="3" width="7.75390625" style="124" customWidth="1"/>
    <col min="4" max="4" width="13.875" style="119" customWidth="1"/>
    <col min="5" max="5" width="42.625" style="119" customWidth="1"/>
    <col min="6" max="6" width="6.75390625" style="119" customWidth="1"/>
    <col min="7" max="7" width="10.125" style="159" customWidth="1"/>
    <col min="8" max="8" width="16.00390625" style="125" bestFit="1" customWidth="1"/>
    <col min="9" max="9" width="6.875" style="119" customWidth="1"/>
    <col min="10" max="10" width="9.625" style="119" customWidth="1"/>
    <col min="11" max="11" width="11.375" style="125" customWidth="1"/>
    <col min="12" max="12" width="10.75390625" style="159" customWidth="1"/>
    <col min="13" max="13" width="8.00390625" style="144" hidden="1" customWidth="1"/>
    <col min="14" max="14" width="3.125" style="170" hidden="1" customWidth="1"/>
    <col min="15" max="15" width="2.125" style="171" hidden="1" customWidth="1"/>
    <col min="16" max="17" width="3.125" style="171" hidden="1" customWidth="1"/>
    <col min="18" max="18" width="3.625" style="171" hidden="1" customWidth="1"/>
    <col min="19" max="19" width="16.625" style="171" hidden="1" customWidth="1"/>
    <col min="20" max="20" width="5.625" style="171" hidden="1" customWidth="1"/>
    <col min="21" max="16384" width="9.125" style="119" customWidth="1"/>
  </cols>
  <sheetData>
    <row r="1" spans="1:9" ht="10.5" customHeight="1">
      <c r="A1" s="562" t="s">
        <v>68</v>
      </c>
      <c r="B1" s="562"/>
      <c r="C1" s="562"/>
      <c r="D1" s="562"/>
      <c r="E1" s="248" t="str">
        <f>UPPER(Установка!C3)</f>
        <v>ТВД-ЛЕТНЕЕ ПЕРВЕНСТВО Г.КАЗАНИ</v>
      </c>
      <c r="F1" s="118"/>
      <c r="G1" s="161"/>
      <c r="H1" s="127"/>
      <c r="I1" s="118"/>
    </row>
    <row r="2" spans="1:8" ht="10.5" customHeight="1">
      <c r="A2" s="562" t="s">
        <v>33</v>
      </c>
      <c r="B2" s="562"/>
      <c r="C2" s="562"/>
      <c r="D2" s="562"/>
      <c r="E2" s="248" t="str">
        <f>IF(Установка!C7="","",Установка!C7)</f>
        <v>06.06-08.06.2014</v>
      </c>
      <c r="F2" s="120"/>
      <c r="G2" s="162"/>
      <c r="H2" s="128"/>
    </row>
    <row r="3" spans="1:8" ht="10.5" customHeight="1">
      <c r="A3" s="562" t="s">
        <v>32</v>
      </c>
      <c r="B3" s="562"/>
      <c r="C3" s="562"/>
      <c r="D3" s="562"/>
      <c r="E3" s="249" t="str">
        <f>UPPER(Установка!C6)</f>
        <v>Г.КАЗАНЬ</v>
      </c>
      <c r="F3" s="121"/>
      <c r="G3" s="122"/>
      <c r="H3" s="129"/>
    </row>
    <row r="4" spans="1:5" ht="10.5" customHeight="1">
      <c r="A4" s="562" t="s">
        <v>69</v>
      </c>
      <c r="B4" s="562"/>
      <c r="C4" s="562"/>
      <c r="D4" s="562"/>
      <c r="E4" s="249" t="str">
        <f>UPPER(Установка!C8)</f>
        <v>VГ</v>
      </c>
    </row>
    <row r="5" spans="1:5" ht="10.5" customHeight="1">
      <c r="A5" s="562" t="s">
        <v>48</v>
      </c>
      <c r="B5" s="562"/>
      <c r="C5" s="562"/>
      <c r="D5" s="562"/>
      <c r="E5" s="249" t="str">
        <f>UPPER(Установка!C4)</f>
        <v>14 ЛЕТ И МОЛОЖЕ</v>
      </c>
    </row>
    <row r="6" spans="1:5" ht="10.5" customHeight="1">
      <c r="A6" s="562" t="s">
        <v>70</v>
      </c>
      <c r="B6" s="562"/>
      <c r="C6" s="562"/>
      <c r="D6" s="562"/>
      <c r="E6" s="249" t="str">
        <f>UPPER(Установка!C5)</f>
        <v>ДЕВУШКИ</v>
      </c>
    </row>
    <row r="7" spans="1:5" ht="10.5" customHeight="1">
      <c r="A7" s="562" t="s">
        <v>71</v>
      </c>
      <c r="B7" s="562"/>
      <c r="C7" s="562"/>
      <c r="D7" s="562"/>
      <c r="E7" s="250">
        <f>IF(Установка!C9="","",Установка!C9)</f>
        <v>41792</v>
      </c>
    </row>
    <row r="8" spans="1:12" ht="10.5" customHeight="1">
      <c r="A8" s="562" t="s">
        <v>72</v>
      </c>
      <c r="B8" s="562"/>
      <c r="C8" s="562"/>
      <c r="D8" s="562"/>
      <c r="E8" s="251">
        <f>IF(Установка!C10="","",Установка!C10)</f>
        <v>41791</v>
      </c>
      <c r="F8" s="130"/>
      <c r="G8" s="131"/>
      <c r="H8" s="132"/>
      <c r="I8" s="130"/>
      <c r="J8" s="130"/>
      <c r="K8" s="132"/>
      <c r="L8" s="131"/>
    </row>
    <row r="9" spans="1:12" ht="15">
      <c r="A9" s="563" t="s">
        <v>134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</row>
    <row r="10" spans="1:15" ht="42" customHeight="1">
      <c r="A10" s="563"/>
      <c r="B10" s="563"/>
      <c r="C10" s="563"/>
      <c r="D10" s="563"/>
      <c r="E10" s="563"/>
      <c r="F10" s="563"/>
      <c r="G10" s="563"/>
      <c r="H10" s="563"/>
      <c r="I10" s="563"/>
      <c r="J10" s="563">
        <v>3</v>
      </c>
      <c r="K10" s="563"/>
      <c r="L10" s="563"/>
      <c r="M10" s="186"/>
      <c r="N10" s="318"/>
      <c r="O10" s="170"/>
    </row>
    <row r="11" spans="1:20" s="126" customFormat="1" ht="38.25">
      <c r="A11" s="320"/>
      <c r="B11" s="321" t="s">
        <v>16</v>
      </c>
      <c r="C11" s="321" t="s">
        <v>73</v>
      </c>
      <c r="D11" s="321" t="s">
        <v>119</v>
      </c>
      <c r="E11" s="321" t="s">
        <v>74</v>
      </c>
      <c r="F11" s="321" t="s">
        <v>62</v>
      </c>
      <c r="G11" s="322" t="s">
        <v>75</v>
      </c>
      <c r="H11" s="323" t="s">
        <v>27</v>
      </c>
      <c r="I11" s="321" t="s">
        <v>76</v>
      </c>
      <c r="J11" s="322" t="s">
        <v>79</v>
      </c>
      <c r="K11" s="323" t="s">
        <v>81</v>
      </c>
      <c r="L11" s="324" t="s">
        <v>80</v>
      </c>
      <c r="M11" s="225" t="s">
        <v>58</v>
      </c>
      <c r="N11" s="319"/>
      <c r="O11" s="316"/>
      <c r="P11" s="317"/>
      <c r="Q11" s="317"/>
      <c r="R11" s="317"/>
      <c r="S11" s="317"/>
      <c r="T11" s="317"/>
    </row>
    <row r="12" spans="1:20" s="134" customFormat="1" ht="25.5" customHeight="1">
      <c r="A12" s="142"/>
      <c r="B12" s="143">
        <f aca="true" t="shared" si="0" ref="B12:B27">ROW()-11</f>
        <v>1</v>
      </c>
      <c r="C12" s="309">
        <v>357</v>
      </c>
      <c r="D12" s="309">
        <v>357</v>
      </c>
      <c r="E12" s="561" t="s">
        <v>185</v>
      </c>
      <c r="F12" s="559"/>
      <c r="G12" s="560"/>
      <c r="H12" s="151" t="s">
        <v>177</v>
      </c>
      <c r="I12" s="152">
        <v>1000</v>
      </c>
      <c r="J12" s="153"/>
      <c r="K12" s="152"/>
      <c r="L12" s="168" t="s">
        <v>181</v>
      </c>
      <c r="M12" s="226">
        <f aca="true" t="shared" si="1" ref="M12:M27">IF(ISBLANK(E12),2,IF(ISBLANK(J12),0,1))</f>
        <v>0</v>
      </c>
      <c r="N12" s="187">
        <f>LEN(E12)</f>
        <v>36</v>
      </c>
      <c r="O12" s="187">
        <f>IF((N12)=0,0,FIND(" ",E12))</f>
        <v>9</v>
      </c>
      <c r="P12" s="187" t="str">
        <f>IF(OR(ISERR(O12),N12=0),"",CONCATENATE(MID(E12,O12+1,1),"."))</f>
        <v>Д.</v>
      </c>
      <c r="Q12" s="187">
        <f>IF(LEN(E12)=0,0,FIND(" ",E12,O12+1))</f>
        <v>14</v>
      </c>
      <c r="R12" s="187" t="str">
        <f>IF(OR(N12=0,ISERR(Q12)),"",CONCATENATE(MID(E12,Q12+1,1),"."))</f>
        <v>Э.</v>
      </c>
      <c r="S12" s="187" t="str">
        <f>IF(E12="","",IF(ISERR(O12),UPPER(E12),UPPER(MID(E12,1,O12-1))))</f>
        <v>ШАКИРОВА</v>
      </c>
      <c r="T12" s="187" t="str">
        <f>CONCATENATE(P12,R12)</f>
        <v>Д.Э.</v>
      </c>
    </row>
    <row r="13" spans="1:20" s="134" customFormat="1" ht="25.5" customHeight="1">
      <c r="A13" s="142"/>
      <c r="B13" s="143">
        <f t="shared" si="0"/>
        <v>2</v>
      </c>
      <c r="C13" s="309">
        <v>235</v>
      </c>
      <c r="D13" s="309">
        <v>235</v>
      </c>
      <c r="E13" s="558" t="s">
        <v>167</v>
      </c>
      <c r="F13" s="559"/>
      <c r="G13" s="560"/>
      <c r="H13" s="151" t="s">
        <v>178</v>
      </c>
      <c r="I13" s="152">
        <v>1000</v>
      </c>
      <c r="J13" s="153"/>
      <c r="K13" s="152"/>
      <c r="L13" s="168" t="s">
        <v>181</v>
      </c>
      <c r="M13" s="226">
        <f t="shared" si="1"/>
        <v>0</v>
      </c>
      <c r="N13" s="187">
        <f aca="true" t="shared" si="2" ref="N13:N27">LEN(E13)</f>
        <v>23</v>
      </c>
      <c r="O13" s="187">
        <f aca="true" t="shared" si="3" ref="O13:O27">IF((N13)=0,0,FIND(" ",E13))</f>
        <v>9</v>
      </c>
      <c r="P13" s="187" t="str">
        <f aca="true" t="shared" si="4" ref="P13:P27">IF(OR(ISERR(O13),N13=0),"",CONCATENATE(MID(E13,O13+1,1),"."))</f>
        <v>З.</v>
      </c>
      <c r="Q13" s="187">
        <f aca="true" t="shared" si="5" ref="Q13:Q27">IF(LEN(E13)=0,0,FIND(" ",E13,O13+1))</f>
        <v>15</v>
      </c>
      <c r="R13" s="187" t="str">
        <f aca="true" t="shared" si="6" ref="R13:R27">IF(OR(N13=0,ISERR(Q13)),"",CONCATENATE(MID(E13,Q13+1,1),"."))</f>
        <v>М.</v>
      </c>
      <c r="S13" s="187" t="str">
        <f aca="true" t="shared" si="7" ref="S13:S27">IF(E13="","",IF(ISERR(O13),UPPER(E13),UPPER(MID(E13,1,O13-1))))</f>
        <v>САМИТОВА</v>
      </c>
      <c r="T13" s="187" t="str">
        <f aca="true" t="shared" si="8" ref="T13:T27">CONCATENATE(P13,R13)</f>
        <v>З.М.</v>
      </c>
    </row>
    <row r="14" spans="1:20" s="134" customFormat="1" ht="25.5" customHeight="1">
      <c r="A14" s="142"/>
      <c r="B14" s="143">
        <f t="shared" si="0"/>
        <v>3</v>
      </c>
      <c r="C14" s="309">
        <v>221</v>
      </c>
      <c r="D14" s="309">
        <v>221</v>
      </c>
      <c r="E14" s="558" t="s">
        <v>168</v>
      </c>
      <c r="F14" s="559"/>
      <c r="G14" s="560"/>
      <c r="H14" s="151" t="s">
        <v>179</v>
      </c>
      <c r="I14" s="152">
        <v>1000</v>
      </c>
      <c r="J14" s="153"/>
      <c r="K14" s="152"/>
      <c r="L14" s="168" t="s">
        <v>181</v>
      </c>
      <c r="M14" s="226">
        <f t="shared" si="1"/>
        <v>0</v>
      </c>
      <c r="N14" s="187">
        <f t="shared" si="2"/>
        <v>26</v>
      </c>
      <c r="O14" s="187">
        <f t="shared" si="3"/>
        <v>10</v>
      </c>
      <c r="P14" s="187" t="str">
        <f t="shared" si="4"/>
        <v>А.</v>
      </c>
      <c r="Q14" s="187">
        <f t="shared" si="5"/>
        <v>16</v>
      </c>
      <c r="R14" s="187" t="str">
        <f t="shared" si="6"/>
        <v>Р.</v>
      </c>
      <c r="S14" s="187" t="str">
        <f t="shared" si="7"/>
        <v>МИФТАХОВА</v>
      </c>
      <c r="T14" s="187" t="str">
        <f t="shared" si="8"/>
        <v>А.Р.</v>
      </c>
    </row>
    <row r="15" spans="1:20" s="134" customFormat="1" ht="25.5" customHeight="1">
      <c r="A15" s="142"/>
      <c r="B15" s="143">
        <f t="shared" si="0"/>
        <v>4</v>
      </c>
      <c r="C15" s="309">
        <v>143</v>
      </c>
      <c r="D15" s="309">
        <v>143</v>
      </c>
      <c r="E15" s="561" t="s">
        <v>184</v>
      </c>
      <c r="F15" s="559"/>
      <c r="G15" s="560"/>
      <c r="H15" s="151" t="s">
        <v>177</v>
      </c>
      <c r="I15" s="152">
        <v>1000</v>
      </c>
      <c r="J15" s="153"/>
      <c r="K15" s="152"/>
      <c r="L15" s="168" t="s">
        <v>181</v>
      </c>
      <c r="M15" s="226">
        <f t="shared" si="1"/>
        <v>0</v>
      </c>
      <c r="N15" s="187">
        <f t="shared" si="2"/>
        <v>52</v>
      </c>
      <c r="O15" s="187">
        <f t="shared" si="3"/>
        <v>10</v>
      </c>
      <c r="P15" s="187" t="str">
        <f t="shared" si="4"/>
        <v>А.</v>
      </c>
      <c r="Q15" s="187">
        <f t="shared" si="5"/>
        <v>20</v>
      </c>
      <c r="R15" s="187" t="str">
        <f t="shared" si="6"/>
        <v>А.</v>
      </c>
      <c r="S15" s="187" t="str">
        <f t="shared" si="7"/>
        <v>КУЗНЕЦОВА</v>
      </c>
      <c r="T15" s="187" t="str">
        <f t="shared" si="8"/>
        <v>А.А.</v>
      </c>
    </row>
    <row r="16" spans="1:20" s="134" customFormat="1" ht="25.5" customHeight="1">
      <c r="A16" s="142"/>
      <c r="B16" s="143">
        <f t="shared" si="0"/>
        <v>5</v>
      </c>
      <c r="C16" s="309">
        <v>91</v>
      </c>
      <c r="D16" s="309">
        <v>91</v>
      </c>
      <c r="E16" s="558" t="s">
        <v>170</v>
      </c>
      <c r="F16" s="559"/>
      <c r="G16" s="560"/>
      <c r="H16" s="151" t="s">
        <v>177</v>
      </c>
      <c r="I16" s="152">
        <v>1000</v>
      </c>
      <c r="J16" s="153"/>
      <c r="K16" s="152"/>
      <c r="L16" s="168" t="s">
        <v>181</v>
      </c>
      <c r="M16" s="226">
        <f t="shared" si="1"/>
        <v>0</v>
      </c>
      <c r="N16" s="187">
        <f t="shared" si="2"/>
        <v>28</v>
      </c>
      <c r="O16" s="187">
        <f t="shared" si="3"/>
        <v>9</v>
      </c>
      <c r="P16" s="187" t="str">
        <f t="shared" si="4"/>
        <v>Е.</v>
      </c>
      <c r="Q16" s="187">
        <f t="shared" si="5"/>
        <v>19</v>
      </c>
      <c r="R16" s="187" t="str">
        <f t="shared" si="6"/>
        <v>А.</v>
      </c>
      <c r="S16" s="187" t="str">
        <f t="shared" si="7"/>
        <v>МАТВЕЕВА</v>
      </c>
      <c r="T16" s="187" t="str">
        <f t="shared" si="8"/>
        <v>Е.А.</v>
      </c>
    </row>
    <row r="17" spans="1:20" s="134" customFormat="1" ht="25.5" customHeight="1">
      <c r="A17" s="142"/>
      <c r="B17" s="143">
        <f t="shared" si="0"/>
        <v>6</v>
      </c>
      <c r="C17" s="309">
        <v>54</v>
      </c>
      <c r="D17" s="309">
        <v>54</v>
      </c>
      <c r="E17" s="558" t="s">
        <v>171</v>
      </c>
      <c r="F17" s="559"/>
      <c r="G17" s="560"/>
      <c r="H17" s="151" t="s">
        <v>177</v>
      </c>
      <c r="I17" s="152">
        <v>1000</v>
      </c>
      <c r="J17" s="153"/>
      <c r="K17" s="152"/>
      <c r="L17" s="168" t="s">
        <v>181</v>
      </c>
      <c r="M17" s="226">
        <f t="shared" si="1"/>
        <v>0</v>
      </c>
      <c r="N17" s="187">
        <f t="shared" si="2"/>
        <v>29</v>
      </c>
      <c r="O17" s="187">
        <f t="shared" si="3"/>
        <v>13</v>
      </c>
      <c r="P17" s="187" t="str">
        <f t="shared" si="4"/>
        <v>Э.</v>
      </c>
      <c r="Q17" s="187">
        <f t="shared" si="5"/>
        <v>19</v>
      </c>
      <c r="R17" s="187" t="str">
        <f t="shared" si="6"/>
        <v>Э.</v>
      </c>
      <c r="S17" s="187" t="str">
        <f t="shared" si="7"/>
        <v>СУНГАТУЛЛИНА</v>
      </c>
      <c r="T17" s="187" t="str">
        <f t="shared" si="8"/>
        <v>Э.Э.</v>
      </c>
    </row>
    <row r="18" spans="1:20" s="134" customFormat="1" ht="25.5" customHeight="1">
      <c r="A18" s="142"/>
      <c r="B18" s="143">
        <f t="shared" si="0"/>
        <v>7</v>
      </c>
      <c r="C18" s="309">
        <v>49</v>
      </c>
      <c r="D18" s="309">
        <v>49</v>
      </c>
      <c r="E18" s="558" t="s">
        <v>172</v>
      </c>
      <c r="F18" s="559"/>
      <c r="G18" s="560"/>
      <c r="H18" s="151" t="s">
        <v>177</v>
      </c>
      <c r="I18" s="152">
        <v>1000</v>
      </c>
      <c r="J18" s="153"/>
      <c r="K18" s="152"/>
      <c r="L18" s="168" t="s">
        <v>181</v>
      </c>
      <c r="M18" s="226">
        <f t="shared" si="1"/>
        <v>0</v>
      </c>
      <c r="N18" s="187">
        <f t="shared" si="2"/>
        <v>28</v>
      </c>
      <c r="O18" s="187">
        <f t="shared" si="3"/>
        <v>9</v>
      </c>
      <c r="P18" s="187" t="str">
        <f t="shared" si="4"/>
        <v>А.</v>
      </c>
      <c r="Q18" s="187">
        <f t="shared" si="5"/>
        <v>15</v>
      </c>
      <c r="R18" s="187" t="str">
        <f t="shared" si="6"/>
        <v>А.</v>
      </c>
      <c r="S18" s="187" t="str">
        <f t="shared" si="7"/>
        <v>МАКАРОВА</v>
      </c>
      <c r="T18" s="187" t="str">
        <f t="shared" si="8"/>
        <v>А.А.</v>
      </c>
    </row>
    <row r="19" spans="1:20" s="134" customFormat="1" ht="25.5" customHeight="1">
      <c r="A19" s="142"/>
      <c r="B19" s="143">
        <f t="shared" si="0"/>
        <v>8</v>
      </c>
      <c r="C19" s="309">
        <v>48</v>
      </c>
      <c r="D19" s="309">
        <v>48</v>
      </c>
      <c r="E19" s="558" t="s">
        <v>173</v>
      </c>
      <c r="F19" s="559"/>
      <c r="G19" s="560"/>
      <c r="H19" s="151" t="s">
        <v>177</v>
      </c>
      <c r="I19" s="152">
        <v>1000</v>
      </c>
      <c r="J19" s="153"/>
      <c r="K19" s="152"/>
      <c r="L19" s="168" t="s">
        <v>181</v>
      </c>
      <c r="M19" s="226">
        <f t="shared" si="1"/>
        <v>0</v>
      </c>
      <c r="N19" s="187">
        <f t="shared" si="2"/>
        <v>23</v>
      </c>
      <c r="O19" s="187">
        <f t="shared" si="3"/>
        <v>8</v>
      </c>
      <c r="P19" s="187" t="str">
        <f t="shared" si="4"/>
        <v>Д.</v>
      </c>
      <c r="Q19" s="187">
        <f t="shared" si="5"/>
        <v>14</v>
      </c>
      <c r="R19" s="187" t="str">
        <f t="shared" si="6"/>
        <v>Д.</v>
      </c>
      <c r="S19" s="187" t="str">
        <f t="shared" si="7"/>
        <v>ЕВСЕЕВА</v>
      </c>
      <c r="T19" s="187" t="str">
        <f t="shared" si="8"/>
        <v>Д.Д.</v>
      </c>
    </row>
    <row r="20" spans="1:20" s="134" customFormat="1" ht="25.5" customHeight="1">
      <c r="A20" s="142"/>
      <c r="B20" s="143">
        <f t="shared" si="0"/>
        <v>9</v>
      </c>
      <c r="C20" s="309">
        <v>37</v>
      </c>
      <c r="D20" s="309">
        <v>37</v>
      </c>
      <c r="E20" s="558" t="s">
        <v>174</v>
      </c>
      <c r="F20" s="559"/>
      <c r="G20" s="560"/>
      <c r="H20" s="151" t="s">
        <v>177</v>
      </c>
      <c r="I20" s="152">
        <v>1000</v>
      </c>
      <c r="J20" s="153"/>
      <c r="K20" s="152"/>
      <c r="L20" s="168" t="s">
        <v>181</v>
      </c>
      <c r="M20" s="226">
        <f t="shared" si="1"/>
        <v>0</v>
      </c>
      <c r="N20" s="187">
        <f t="shared" si="2"/>
        <v>23</v>
      </c>
      <c r="O20" s="187">
        <f t="shared" si="3"/>
        <v>9</v>
      </c>
      <c r="P20" s="187" t="str">
        <f t="shared" si="4"/>
        <v>Л.</v>
      </c>
      <c r="Q20" s="187">
        <f t="shared" si="5"/>
        <v>14</v>
      </c>
      <c r="R20" s="187" t="str">
        <f t="shared" si="6"/>
        <v>С.</v>
      </c>
      <c r="S20" s="187" t="str">
        <f t="shared" si="7"/>
        <v>ШИМАРИНА</v>
      </c>
      <c r="T20" s="187" t="str">
        <f t="shared" si="8"/>
        <v>Л.С.</v>
      </c>
    </row>
    <row r="21" spans="1:20" s="134" customFormat="1" ht="25.5" customHeight="1">
      <c r="A21" s="142"/>
      <c r="B21" s="143">
        <f t="shared" si="0"/>
        <v>10</v>
      </c>
      <c r="C21" s="309">
        <v>34</v>
      </c>
      <c r="D21" s="309">
        <v>34</v>
      </c>
      <c r="E21" s="558" t="s">
        <v>175</v>
      </c>
      <c r="F21" s="559"/>
      <c r="G21" s="560"/>
      <c r="H21" s="151" t="s">
        <v>177</v>
      </c>
      <c r="I21" s="152">
        <v>1000</v>
      </c>
      <c r="J21" s="153"/>
      <c r="K21" s="152"/>
      <c r="L21" s="168" t="s">
        <v>181</v>
      </c>
      <c r="M21" s="226">
        <f t="shared" si="1"/>
        <v>0</v>
      </c>
      <c r="N21" s="187">
        <f t="shared" si="2"/>
        <v>29</v>
      </c>
      <c r="O21" s="187">
        <f t="shared" si="3"/>
        <v>13</v>
      </c>
      <c r="P21" s="187" t="str">
        <f t="shared" si="4"/>
        <v>Д.</v>
      </c>
      <c r="Q21" s="187">
        <f t="shared" si="5"/>
        <v>19</v>
      </c>
      <c r="R21" s="187" t="str">
        <f t="shared" si="6"/>
        <v>И.</v>
      </c>
      <c r="S21" s="187" t="str">
        <f t="shared" si="7"/>
        <v>НИГМЕДЗЯНОВА</v>
      </c>
      <c r="T21" s="187" t="str">
        <f t="shared" si="8"/>
        <v>Д.И.</v>
      </c>
    </row>
    <row r="22" spans="1:20" s="134" customFormat="1" ht="25.5" customHeight="1">
      <c r="A22" s="142"/>
      <c r="B22" s="143">
        <f t="shared" si="0"/>
        <v>11</v>
      </c>
      <c r="C22" s="309">
        <v>0</v>
      </c>
      <c r="D22" s="309">
        <v>0</v>
      </c>
      <c r="E22" s="558" t="s">
        <v>176</v>
      </c>
      <c r="F22" s="559"/>
      <c r="G22" s="560"/>
      <c r="H22" s="151" t="s">
        <v>180</v>
      </c>
      <c r="I22" s="152">
        <v>1000</v>
      </c>
      <c r="J22" s="153"/>
      <c r="K22" s="152"/>
      <c r="L22" s="168" t="s">
        <v>181</v>
      </c>
      <c r="M22" s="226">
        <f t="shared" si="1"/>
        <v>0</v>
      </c>
      <c r="N22" s="187">
        <f t="shared" si="2"/>
        <v>25</v>
      </c>
      <c r="O22" s="187">
        <f t="shared" si="3"/>
        <v>10</v>
      </c>
      <c r="P22" s="187" t="str">
        <f t="shared" si="4"/>
        <v>О.</v>
      </c>
      <c r="Q22" s="187">
        <f t="shared" si="5"/>
        <v>16</v>
      </c>
      <c r="R22" s="187" t="str">
        <f t="shared" si="6"/>
        <v>С.</v>
      </c>
      <c r="S22" s="187" t="str">
        <f t="shared" si="7"/>
        <v>МАКСИМОВА</v>
      </c>
      <c r="T22" s="187" t="str">
        <f t="shared" si="8"/>
        <v>О.С.</v>
      </c>
    </row>
    <row r="23" spans="1:20" s="134" customFormat="1" ht="25.5" customHeight="1">
      <c r="A23" s="142"/>
      <c r="B23" s="143">
        <f t="shared" si="0"/>
        <v>12</v>
      </c>
      <c r="C23" s="309"/>
      <c r="D23" s="309"/>
      <c r="E23" s="151"/>
      <c r="F23" s="152"/>
      <c r="G23" s="153"/>
      <c r="H23" s="151"/>
      <c r="I23" s="152"/>
      <c r="J23" s="153"/>
      <c r="K23" s="152"/>
      <c r="L23" s="168"/>
      <c r="M23" s="226">
        <f t="shared" si="1"/>
        <v>2</v>
      </c>
      <c r="N23" s="187">
        <f t="shared" si="2"/>
        <v>0</v>
      </c>
      <c r="O23" s="187">
        <f t="shared" si="3"/>
        <v>0</v>
      </c>
      <c r="P23" s="187">
        <f t="shared" si="4"/>
      </c>
      <c r="Q23" s="187">
        <f t="shared" si="5"/>
        <v>0</v>
      </c>
      <c r="R23" s="187">
        <f t="shared" si="6"/>
      </c>
      <c r="S23" s="187">
        <f t="shared" si="7"/>
      </c>
      <c r="T23" s="187">
        <f t="shared" si="8"/>
      </c>
    </row>
    <row r="24" spans="1:20" s="134" customFormat="1" ht="25.5" customHeight="1">
      <c r="A24" s="142"/>
      <c r="B24" s="143">
        <f t="shared" si="0"/>
        <v>13</v>
      </c>
      <c r="C24" s="309"/>
      <c r="D24" s="309"/>
      <c r="E24" s="151"/>
      <c r="F24" s="152"/>
      <c r="G24" s="153"/>
      <c r="H24" s="151"/>
      <c r="I24" s="152"/>
      <c r="J24" s="153"/>
      <c r="K24" s="152"/>
      <c r="L24" s="168"/>
      <c r="M24" s="226">
        <f t="shared" si="1"/>
        <v>2</v>
      </c>
      <c r="N24" s="187">
        <f t="shared" si="2"/>
        <v>0</v>
      </c>
      <c r="O24" s="187">
        <f t="shared" si="3"/>
        <v>0</v>
      </c>
      <c r="P24" s="187">
        <f t="shared" si="4"/>
      </c>
      <c r="Q24" s="187">
        <f t="shared" si="5"/>
        <v>0</v>
      </c>
      <c r="R24" s="187">
        <f t="shared" si="6"/>
      </c>
      <c r="S24" s="187">
        <f t="shared" si="7"/>
      </c>
      <c r="T24" s="187">
        <f t="shared" si="8"/>
      </c>
    </row>
    <row r="25" spans="1:20" s="134" customFormat="1" ht="25.5" customHeight="1">
      <c r="A25" s="203" t="s">
        <v>85</v>
      </c>
      <c r="B25" s="143">
        <f t="shared" si="0"/>
        <v>14</v>
      </c>
      <c r="C25" s="309"/>
      <c r="D25" s="309"/>
      <c r="E25" s="151"/>
      <c r="F25" s="152"/>
      <c r="G25" s="153"/>
      <c r="H25" s="151"/>
      <c r="I25" s="152"/>
      <c r="J25" s="153"/>
      <c r="K25" s="152"/>
      <c r="L25" s="168"/>
      <c r="M25" s="226">
        <f t="shared" si="1"/>
        <v>2</v>
      </c>
      <c r="N25" s="187">
        <f t="shared" si="2"/>
        <v>0</v>
      </c>
      <c r="O25" s="187">
        <f t="shared" si="3"/>
        <v>0</v>
      </c>
      <c r="P25" s="187">
        <f t="shared" si="4"/>
      </c>
      <c r="Q25" s="187">
        <f t="shared" si="5"/>
        <v>0</v>
      </c>
      <c r="R25" s="187">
        <f t="shared" si="6"/>
      </c>
      <c r="S25" s="187">
        <f t="shared" si="7"/>
      </c>
      <c r="T25" s="187">
        <f t="shared" si="8"/>
      </c>
    </row>
    <row r="26" spans="1:20" s="134" customFormat="1" ht="25.5" customHeight="1">
      <c r="A26" s="203" t="s">
        <v>86</v>
      </c>
      <c r="B26" s="143">
        <f t="shared" si="0"/>
        <v>15</v>
      </c>
      <c r="C26" s="309"/>
      <c r="D26" s="309"/>
      <c r="E26" s="151"/>
      <c r="F26" s="152"/>
      <c r="G26" s="153"/>
      <c r="H26" s="151"/>
      <c r="I26" s="152"/>
      <c r="J26" s="153"/>
      <c r="K26" s="152"/>
      <c r="L26" s="168"/>
      <c r="M26" s="226">
        <f t="shared" si="1"/>
        <v>2</v>
      </c>
      <c r="N26" s="187">
        <f t="shared" si="2"/>
        <v>0</v>
      </c>
      <c r="O26" s="187">
        <f t="shared" si="3"/>
        <v>0</v>
      </c>
      <c r="P26" s="187">
        <f t="shared" si="4"/>
      </c>
      <c r="Q26" s="187">
        <f t="shared" si="5"/>
        <v>0</v>
      </c>
      <c r="R26" s="187">
        <f t="shared" si="6"/>
      </c>
      <c r="S26" s="187">
        <f t="shared" si="7"/>
      </c>
      <c r="T26" s="187">
        <f t="shared" si="8"/>
      </c>
    </row>
    <row r="27" spans="1:20" s="134" customFormat="1" ht="25.5" customHeight="1">
      <c r="A27" s="203" t="s">
        <v>87</v>
      </c>
      <c r="B27" s="143">
        <f t="shared" si="0"/>
        <v>16</v>
      </c>
      <c r="C27" s="309"/>
      <c r="D27" s="309"/>
      <c r="E27" s="151"/>
      <c r="F27" s="152"/>
      <c r="G27" s="153"/>
      <c r="H27" s="151"/>
      <c r="I27" s="152"/>
      <c r="J27" s="153"/>
      <c r="K27" s="152"/>
      <c r="L27" s="168"/>
      <c r="M27" s="226">
        <f t="shared" si="1"/>
        <v>2</v>
      </c>
      <c r="N27" s="187">
        <f t="shared" si="2"/>
        <v>0</v>
      </c>
      <c r="O27" s="187">
        <f t="shared" si="3"/>
        <v>0</v>
      </c>
      <c r="P27" s="187">
        <f t="shared" si="4"/>
      </c>
      <c r="Q27" s="187">
        <f t="shared" si="5"/>
        <v>0</v>
      </c>
      <c r="R27" s="187">
        <f t="shared" si="6"/>
      </c>
      <c r="S27" s="187">
        <f t="shared" si="7"/>
      </c>
      <c r="T27" s="187">
        <f t="shared" si="8"/>
      </c>
    </row>
    <row r="28" spans="1:20" s="123" customFormat="1" ht="14.25" customHeight="1">
      <c r="A28" s="138"/>
      <c r="B28" s="139"/>
      <c r="C28" s="139"/>
      <c r="D28" s="139"/>
      <c r="E28" s="354"/>
      <c r="F28" s="140"/>
      <c r="G28" s="160"/>
      <c r="H28" s="141"/>
      <c r="I28" s="140"/>
      <c r="J28" s="140"/>
      <c r="K28" s="141"/>
      <c r="L28" s="160"/>
      <c r="M28" s="145"/>
      <c r="N28" s="172"/>
      <c r="O28" s="173"/>
      <c r="P28" s="173"/>
      <c r="Q28" s="173"/>
      <c r="R28" s="173"/>
      <c r="S28" s="173"/>
      <c r="T28" s="173"/>
    </row>
    <row r="29" spans="1:20" s="123" customFormat="1" ht="14.25" customHeight="1">
      <c r="A29" s="138"/>
      <c r="B29" s="139"/>
      <c r="C29" s="139"/>
      <c r="D29" s="139"/>
      <c r="E29" s="354"/>
      <c r="F29" s="140"/>
      <c r="G29" s="160"/>
      <c r="H29" s="141"/>
      <c r="I29" s="140"/>
      <c r="J29" s="140"/>
      <c r="K29" s="141"/>
      <c r="L29" s="160"/>
      <c r="M29" s="145"/>
      <c r="N29" s="172"/>
      <c r="O29" s="173"/>
      <c r="P29" s="173"/>
      <c r="Q29" s="173"/>
      <c r="R29" s="173"/>
      <c r="S29" s="173"/>
      <c r="T29" s="173"/>
    </row>
    <row r="30" spans="1:20" s="123" customFormat="1" ht="14.25" customHeight="1">
      <c r="A30" s="138"/>
      <c r="B30" s="139"/>
      <c r="C30" s="139"/>
      <c r="D30" s="139"/>
      <c r="E30" s="354"/>
      <c r="F30" s="140"/>
      <c r="G30" s="160"/>
      <c r="H30" s="141"/>
      <c r="I30" s="140"/>
      <c r="J30" s="140"/>
      <c r="K30" s="141"/>
      <c r="L30" s="160"/>
      <c r="M30" s="145"/>
      <c r="N30" s="172"/>
      <c r="O30" s="173"/>
      <c r="P30" s="173"/>
      <c r="Q30" s="173"/>
      <c r="R30" s="173"/>
      <c r="S30" s="173"/>
      <c r="T30" s="173"/>
    </row>
    <row r="31" spans="1:20" s="123" customFormat="1" ht="14.25" customHeight="1">
      <c r="A31" s="138"/>
      <c r="B31" s="139"/>
      <c r="C31" s="139"/>
      <c r="D31" s="139"/>
      <c r="E31" s="354"/>
      <c r="F31" s="140"/>
      <c r="G31" s="160"/>
      <c r="H31" s="141"/>
      <c r="I31" s="140"/>
      <c r="J31" s="140"/>
      <c r="K31" s="141"/>
      <c r="L31" s="160"/>
      <c r="M31" s="145"/>
      <c r="N31" s="172"/>
      <c r="O31" s="173"/>
      <c r="P31" s="173"/>
      <c r="Q31" s="173"/>
      <c r="R31" s="173"/>
      <c r="S31" s="173"/>
      <c r="T31" s="173"/>
    </row>
    <row r="32" spans="1:20" s="123" customFormat="1" ht="14.25" customHeight="1">
      <c r="A32" s="138"/>
      <c r="B32" s="139"/>
      <c r="C32" s="139"/>
      <c r="D32" s="139"/>
      <c r="E32" s="354"/>
      <c r="F32" s="140"/>
      <c r="G32" s="160"/>
      <c r="H32" s="141"/>
      <c r="I32" s="140"/>
      <c r="J32" s="140"/>
      <c r="K32" s="141"/>
      <c r="L32" s="160"/>
      <c r="M32" s="145"/>
      <c r="N32" s="172"/>
      <c r="O32" s="173"/>
      <c r="P32" s="173"/>
      <c r="Q32" s="173"/>
      <c r="R32" s="173"/>
      <c r="S32" s="173"/>
      <c r="T32" s="173"/>
    </row>
    <row r="33" spans="1:20" s="123" customFormat="1" ht="14.25" customHeight="1">
      <c r="A33" s="138"/>
      <c r="B33" s="139"/>
      <c r="C33" s="139"/>
      <c r="D33" s="139"/>
      <c r="E33" s="354"/>
      <c r="F33" s="140"/>
      <c r="G33" s="160"/>
      <c r="H33" s="141"/>
      <c r="I33" s="140"/>
      <c r="J33" s="140"/>
      <c r="K33" s="141"/>
      <c r="L33" s="160"/>
      <c r="M33" s="145"/>
      <c r="N33" s="172"/>
      <c r="O33" s="173"/>
      <c r="P33" s="173"/>
      <c r="Q33" s="173"/>
      <c r="R33" s="173"/>
      <c r="S33" s="173"/>
      <c r="T33" s="173"/>
    </row>
    <row r="34" spans="1:20" s="123" customFormat="1" ht="14.25" customHeight="1">
      <c r="A34" s="138"/>
      <c r="B34" s="139"/>
      <c r="C34" s="139"/>
      <c r="D34" s="139"/>
      <c r="E34" s="354"/>
      <c r="F34" s="140"/>
      <c r="G34" s="160"/>
      <c r="H34" s="141"/>
      <c r="I34" s="140"/>
      <c r="J34" s="140"/>
      <c r="K34" s="141"/>
      <c r="L34" s="160"/>
      <c r="M34" s="145"/>
      <c r="N34" s="172"/>
      <c r="O34" s="173"/>
      <c r="P34" s="173"/>
      <c r="Q34" s="173"/>
      <c r="R34" s="173"/>
      <c r="S34" s="173"/>
      <c r="T34" s="173"/>
    </row>
    <row r="35" spans="1:20" s="123" customFormat="1" ht="14.25" customHeight="1">
      <c r="A35" s="138"/>
      <c r="B35" s="139"/>
      <c r="C35" s="139"/>
      <c r="D35" s="139"/>
      <c r="E35" s="354"/>
      <c r="F35" s="140"/>
      <c r="G35" s="160"/>
      <c r="H35" s="141"/>
      <c r="I35" s="140"/>
      <c r="J35" s="140"/>
      <c r="K35" s="141"/>
      <c r="L35" s="160"/>
      <c r="M35" s="145"/>
      <c r="N35" s="172"/>
      <c r="O35" s="173"/>
      <c r="P35" s="173"/>
      <c r="Q35" s="173"/>
      <c r="R35" s="173"/>
      <c r="S35" s="173"/>
      <c r="T35" s="173"/>
    </row>
    <row r="36" spans="1:20" s="123" customFormat="1" ht="14.25" customHeight="1">
      <c r="A36" s="138"/>
      <c r="B36" s="139"/>
      <c r="C36" s="139"/>
      <c r="D36" s="139"/>
      <c r="E36" s="354"/>
      <c r="F36" s="140"/>
      <c r="G36" s="160"/>
      <c r="H36" s="141"/>
      <c r="I36" s="140"/>
      <c r="J36" s="140"/>
      <c r="K36" s="141"/>
      <c r="L36" s="160"/>
      <c r="M36" s="145"/>
      <c r="N36" s="172"/>
      <c r="O36" s="173"/>
      <c r="P36" s="173"/>
      <c r="Q36" s="173"/>
      <c r="R36" s="173"/>
      <c r="S36" s="173"/>
      <c r="T36" s="173"/>
    </row>
    <row r="37" spans="1:20" s="123" customFormat="1" ht="14.25" customHeight="1">
      <c r="A37" s="138"/>
      <c r="B37" s="139"/>
      <c r="C37" s="139"/>
      <c r="D37" s="139"/>
      <c r="E37" s="354"/>
      <c r="F37" s="140"/>
      <c r="G37" s="160"/>
      <c r="H37" s="141"/>
      <c r="I37" s="140"/>
      <c r="J37" s="140"/>
      <c r="K37" s="141"/>
      <c r="L37" s="160"/>
      <c r="M37" s="145"/>
      <c r="N37" s="172"/>
      <c r="O37" s="173"/>
      <c r="P37" s="173"/>
      <c r="Q37" s="173"/>
      <c r="R37" s="173"/>
      <c r="S37" s="173"/>
      <c r="T37" s="173"/>
    </row>
    <row r="38" spans="1:20" s="123" customFormat="1" ht="14.25" customHeight="1">
      <c r="A38" s="138"/>
      <c r="B38" s="139"/>
      <c r="C38" s="139"/>
      <c r="D38" s="139"/>
      <c r="E38" s="354"/>
      <c r="F38" s="140"/>
      <c r="G38" s="160"/>
      <c r="H38" s="141"/>
      <c r="I38" s="140"/>
      <c r="J38" s="140"/>
      <c r="K38" s="141"/>
      <c r="L38" s="160"/>
      <c r="M38" s="145"/>
      <c r="N38" s="172"/>
      <c r="O38" s="173"/>
      <c r="P38" s="173"/>
      <c r="Q38" s="173"/>
      <c r="R38" s="173"/>
      <c r="S38" s="173"/>
      <c r="T38" s="173"/>
    </row>
    <row r="39" spans="1:20" s="123" customFormat="1" ht="14.25" customHeight="1">
      <c r="A39" s="138"/>
      <c r="B39" s="139"/>
      <c r="C39" s="139"/>
      <c r="D39" s="139"/>
      <c r="E39" s="354"/>
      <c r="F39" s="140"/>
      <c r="G39" s="160"/>
      <c r="H39" s="141"/>
      <c r="I39" s="140"/>
      <c r="J39" s="140"/>
      <c r="K39" s="141"/>
      <c r="L39" s="160"/>
      <c r="M39" s="145"/>
      <c r="N39" s="172"/>
      <c r="O39" s="173"/>
      <c r="P39" s="173"/>
      <c r="Q39" s="173"/>
      <c r="R39" s="173"/>
      <c r="S39" s="173"/>
      <c r="T39" s="173"/>
    </row>
    <row r="40" spans="1:20" s="123" customFormat="1" ht="14.25" customHeight="1">
      <c r="A40" s="138"/>
      <c r="B40" s="139"/>
      <c r="C40" s="139"/>
      <c r="D40" s="139"/>
      <c r="E40" s="354"/>
      <c r="F40" s="140"/>
      <c r="G40" s="160"/>
      <c r="H40" s="141"/>
      <c r="I40" s="140"/>
      <c r="J40" s="140"/>
      <c r="K40" s="141"/>
      <c r="L40" s="160"/>
      <c r="M40" s="145"/>
      <c r="N40" s="172"/>
      <c r="O40" s="173"/>
      <c r="P40" s="173"/>
      <c r="Q40" s="173"/>
      <c r="R40" s="173"/>
      <c r="S40" s="173"/>
      <c r="T40" s="173"/>
    </row>
    <row r="41" spans="1:20" s="123" customFormat="1" ht="14.25" customHeight="1">
      <c r="A41" s="138"/>
      <c r="B41" s="139"/>
      <c r="C41" s="139"/>
      <c r="D41" s="139"/>
      <c r="E41" s="354"/>
      <c r="F41" s="140"/>
      <c r="G41" s="160"/>
      <c r="H41" s="141"/>
      <c r="I41" s="140"/>
      <c r="J41" s="140"/>
      <c r="K41" s="141"/>
      <c r="L41" s="160"/>
      <c r="M41" s="145"/>
      <c r="N41" s="172"/>
      <c r="O41" s="173"/>
      <c r="P41" s="173"/>
      <c r="Q41" s="173"/>
      <c r="R41" s="173"/>
      <c r="S41" s="173"/>
      <c r="T41" s="173"/>
    </row>
    <row r="42" spans="1:20" s="123" customFormat="1" ht="14.25" customHeight="1">
      <c r="A42" s="138"/>
      <c r="B42" s="139"/>
      <c r="C42" s="139"/>
      <c r="D42" s="139"/>
      <c r="E42" s="354"/>
      <c r="F42" s="140"/>
      <c r="G42" s="160"/>
      <c r="H42" s="141"/>
      <c r="I42" s="140"/>
      <c r="J42" s="140"/>
      <c r="K42" s="141"/>
      <c r="L42" s="160"/>
      <c r="M42" s="145"/>
      <c r="N42" s="172"/>
      <c r="O42" s="173"/>
      <c r="P42" s="173"/>
      <c r="Q42" s="173"/>
      <c r="R42" s="173"/>
      <c r="S42" s="173"/>
      <c r="T42" s="173"/>
    </row>
    <row r="43" spans="4:5" ht="12.75" customHeight="1">
      <c r="D43" s="124"/>
      <c r="E43" s="355"/>
    </row>
    <row r="44" spans="4:5" ht="12.75" customHeight="1">
      <c r="D44" s="124"/>
      <c r="E44" s="355"/>
    </row>
    <row r="45" spans="4:5" ht="12.75" customHeight="1">
      <c r="D45" s="124"/>
      <c r="E45" s="355"/>
    </row>
    <row r="46" spans="4:5" ht="12.75" customHeight="1">
      <c r="D46" s="124"/>
      <c r="E46" s="355"/>
    </row>
    <row r="47" spans="4:5" ht="12.75" customHeight="1">
      <c r="D47" s="124"/>
      <c r="E47" s="355"/>
    </row>
    <row r="48" spans="4:5" ht="12.75" customHeight="1">
      <c r="D48" s="124"/>
      <c r="E48" s="355"/>
    </row>
    <row r="49" spans="4:5" ht="12.75" customHeight="1">
      <c r="D49" s="124"/>
      <c r="E49" s="355"/>
    </row>
    <row r="50" spans="1:11" s="205" customFormat="1" ht="54" customHeight="1" hidden="1">
      <c r="A50" s="353" t="s">
        <v>88</v>
      </c>
      <c r="B50" s="353"/>
      <c r="C50" s="353"/>
      <c r="D50" s="353"/>
      <c r="E50" s="204">
        <f>13-COUNTIF(E12:E24,"")</f>
        <v>11</v>
      </c>
      <c r="G50" s="206"/>
      <c r="H50" s="204"/>
      <c r="J50" s="206"/>
      <c r="K50" s="204">
        <f>COUNTIF(K12:K27,"СК")</f>
        <v>0</v>
      </c>
    </row>
    <row r="51" spans="1:11" s="205" customFormat="1" ht="54" customHeight="1" hidden="1">
      <c r="A51" s="353" t="s">
        <v>120</v>
      </c>
      <c r="B51" s="353"/>
      <c r="C51" s="353"/>
      <c r="D51" s="353"/>
      <c r="E51" s="204">
        <f>3-COUNTIF(E25:E27,"")</f>
        <v>0</v>
      </c>
      <c r="G51" s="206"/>
      <c r="H51" s="204"/>
      <c r="J51" s="206"/>
      <c r="K51" s="204"/>
    </row>
    <row r="52" spans="1:12" s="205" customFormat="1" ht="54" customHeight="1" hidden="1">
      <c r="A52" s="353" t="s">
        <v>121</v>
      </c>
      <c r="B52" s="353"/>
      <c r="C52" s="353"/>
      <c r="D52" s="353"/>
      <c r="E52" s="204">
        <f>16-COUNTIF(E12:E27,"")</f>
        <v>11</v>
      </c>
      <c r="G52" s="206"/>
      <c r="H52" s="204"/>
      <c r="J52" s="206"/>
      <c r="K52" s="204"/>
      <c r="L52" s="495">
        <f>16-COUNTIF(L12:L27,"")</f>
        <v>11</v>
      </c>
    </row>
    <row r="53" spans="4:5" ht="12.75" customHeight="1">
      <c r="D53" s="124"/>
      <c r="E53" s="355"/>
    </row>
    <row r="54" spans="4:5" ht="12.75" customHeight="1">
      <c r="D54" s="124"/>
      <c r="E54" s="355"/>
    </row>
    <row r="55" spans="4:5" ht="12.75" customHeight="1">
      <c r="D55" s="124"/>
      <c r="E55" s="355"/>
    </row>
    <row r="56" spans="4:5" ht="12.75" customHeight="1">
      <c r="D56" s="124"/>
      <c r="E56" s="355"/>
    </row>
    <row r="57" spans="4:5" ht="12.75" customHeight="1">
      <c r="D57" s="124"/>
      <c r="E57" s="355"/>
    </row>
    <row r="58" spans="4:5" ht="12.75" customHeight="1">
      <c r="D58" s="124"/>
      <c r="E58" s="355"/>
    </row>
    <row r="59" spans="4:5" ht="12.75" customHeight="1">
      <c r="D59" s="124"/>
      <c r="E59" s="355"/>
    </row>
    <row r="60" spans="4:5" ht="12.75" customHeight="1">
      <c r="D60" s="124"/>
      <c r="E60" s="355"/>
    </row>
    <row r="61" spans="4:5" ht="12.75" customHeight="1">
      <c r="D61" s="124"/>
      <c r="E61" s="355"/>
    </row>
    <row r="62" spans="4:5" ht="12.75" customHeight="1">
      <c r="D62" s="124"/>
      <c r="E62" s="355"/>
    </row>
    <row r="63" spans="4:5" ht="12.75" customHeight="1">
      <c r="D63" s="124"/>
      <c r="E63" s="355"/>
    </row>
    <row r="64" spans="4:5" ht="12.75" customHeight="1">
      <c r="D64" s="355"/>
      <c r="E64" s="355"/>
    </row>
    <row r="65" spans="4:5" ht="12.75" customHeight="1">
      <c r="D65" s="355"/>
      <c r="E65" s="355"/>
    </row>
    <row r="66" spans="4:5" ht="12.75" customHeight="1">
      <c r="D66" s="355"/>
      <c r="E66" s="355"/>
    </row>
    <row r="67" spans="4:5" ht="12.75" customHeight="1">
      <c r="D67" s="355"/>
      <c r="E67" s="355"/>
    </row>
    <row r="68" spans="4:5" ht="12.75" customHeight="1">
      <c r="D68" s="355"/>
      <c r="E68" s="355"/>
    </row>
    <row r="69" spans="4:5" ht="12.75" customHeight="1">
      <c r="D69" s="355"/>
      <c r="E69" s="355"/>
    </row>
    <row r="70" spans="4:5" ht="12.75" customHeight="1">
      <c r="D70" s="355"/>
      <c r="E70" s="355"/>
    </row>
  </sheetData>
  <sheetProtection sheet="1" objects="1" scenarios="1" selectLockedCells="1"/>
  <mergeCells count="21">
    <mergeCell ref="A1:D1"/>
    <mergeCell ref="A2:D2"/>
    <mergeCell ref="A3:D3"/>
    <mergeCell ref="A4:D4"/>
    <mergeCell ref="A5:D5"/>
    <mergeCell ref="A6:D6"/>
    <mergeCell ref="A8:D8"/>
    <mergeCell ref="E17:G17"/>
    <mergeCell ref="A10:L10"/>
    <mergeCell ref="E16:G16"/>
    <mergeCell ref="A9:L9"/>
    <mergeCell ref="A7:D7"/>
    <mergeCell ref="E18:G18"/>
    <mergeCell ref="E19:G19"/>
    <mergeCell ref="E20:G20"/>
    <mergeCell ref="E21:G21"/>
    <mergeCell ref="E22:G22"/>
    <mergeCell ref="E12:G12"/>
    <mergeCell ref="E13:G13"/>
    <mergeCell ref="E14:G14"/>
    <mergeCell ref="E15:G15"/>
  </mergeCells>
  <conditionalFormatting sqref="A12:A24 B12:C27 E12:L27">
    <cfRule type="expression" priority="3" dxfId="34" stopIfTrue="1">
      <formula>OR($L12="х",$L12="x")</formula>
    </cfRule>
    <cfRule type="expression" priority="4" dxfId="41" stopIfTrue="1">
      <formula>$L12="ОЭ"</formula>
    </cfRule>
  </conditionalFormatting>
  <conditionalFormatting sqref="D12:D27">
    <cfRule type="expression" priority="1" dxfId="34" stopIfTrue="1">
      <formula>OR($L12="х",$L12="x")</formula>
    </cfRule>
    <cfRule type="expression" priority="2" dxfId="41" stopIfTrue="1">
      <formula>$L12="ОЭ"</formula>
    </cfRule>
  </conditionalFormatting>
  <printOptions/>
  <pageMargins left="0.16180555555555556" right="0.14" top="0.16041666666666668" bottom="0.16041666666666668" header="0" footer="0"/>
  <pageSetup fitToHeight="1" fitToWidth="1" horizontalDpi="600" verticalDpi="600" orientation="portrait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N40"/>
  <sheetViews>
    <sheetView showGridLines="0" showRowColHeaders="0" showZeros="0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372" bestFit="1" customWidth="1"/>
    <col min="2" max="2" width="12.75390625" style="115" customWidth="1"/>
    <col min="3" max="4" width="25.00390625" style="115" customWidth="1"/>
    <col min="5" max="5" width="18.125" style="115" customWidth="1"/>
    <col min="6" max="6" width="20.875" style="115" customWidth="1"/>
    <col min="7" max="8" width="11.75390625" style="115" customWidth="1"/>
    <col min="9" max="9" width="12.625" style="115" customWidth="1"/>
    <col min="10" max="10" width="11.375" style="115" customWidth="1"/>
    <col min="11" max="11" width="16.625" style="115" customWidth="1"/>
    <col min="12" max="12" width="15.00390625" style="115" customWidth="1"/>
    <col min="13" max="13" width="13.25390625" style="115" customWidth="1"/>
    <col min="14" max="14" width="13.00390625" style="115" customWidth="1"/>
    <col min="15" max="16384" width="9.125" style="115" customWidth="1"/>
  </cols>
  <sheetData>
    <row r="1" spans="1:13" ht="23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M1" s="369"/>
    </row>
    <row r="2" spans="1:14" ht="27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370"/>
    </row>
    <row r="3" spans="1:14" ht="12.75">
      <c r="A3" s="569" t="s">
        <v>135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</row>
    <row r="4" spans="1:14" ht="12.75" customHeight="1">
      <c r="A4" s="569" t="s">
        <v>136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</row>
    <row r="5" spans="1:14" ht="21" customHeight="1">
      <c r="A5" s="575" t="str">
        <f>UPPER(Установка!C3)</f>
        <v>ТВД-ЛЕТНЕЕ ПЕРВЕНСТВО Г.КАЗАНИ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</row>
    <row r="6" spans="1:14" ht="12.75" customHeight="1">
      <c r="A6" s="570" t="s">
        <v>3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</row>
    <row r="7" spans="2:14" ht="20.25">
      <c r="B7" s="371"/>
      <c r="C7" s="373" t="s">
        <v>31</v>
      </c>
      <c r="D7" s="571" t="str">
        <f>UPPER(Установка!C4)</f>
        <v>14 ЛЕТ И МОЛОЖЕ</v>
      </c>
      <c r="E7" s="571"/>
      <c r="F7" s="371"/>
      <c r="G7" s="371"/>
      <c r="H7" s="371"/>
      <c r="I7" s="371"/>
      <c r="J7" s="371"/>
      <c r="M7" s="578" t="str">
        <f>IF(Установка!$C$5="","Ю/Д/М/Ж",UPPER(Установка!$C$5))</f>
        <v>ДЕВУШКИ</v>
      </c>
      <c r="N7" s="578"/>
    </row>
    <row r="8" spans="12:13" ht="16.5" customHeight="1">
      <c r="L8" s="374" t="s">
        <v>69</v>
      </c>
      <c r="M8" s="45" t="str">
        <f>Установка!C37</f>
        <v>V</v>
      </c>
    </row>
    <row r="9" spans="1:13" s="377" customFormat="1" ht="15.75" customHeight="1">
      <c r="A9" s="572" t="s">
        <v>32</v>
      </c>
      <c r="B9" s="572"/>
      <c r="C9" s="368" t="str">
        <f>UPPER(Установка!C6)</f>
        <v>Г.КАЗАНЬ</v>
      </c>
      <c r="D9" s="375" t="s">
        <v>33</v>
      </c>
      <c r="E9" s="376" t="str">
        <f>Установка!C7</f>
        <v>06.06-08.06.2014</v>
      </c>
      <c r="F9" s="112"/>
      <c r="G9" s="112"/>
      <c r="H9" s="112"/>
      <c r="I9" s="112"/>
      <c r="J9" s="112"/>
      <c r="L9" s="378" t="s">
        <v>137</v>
      </c>
      <c r="M9" s="379" t="str">
        <f>Установка!C46</f>
        <v>Г</v>
      </c>
    </row>
    <row r="10" ht="10.5" customHeight="1"/>
    <row r="11" spans="1:14" s="116" customFormat="1" ht="36" customHeight="1">
      <c r="A11" s="114" t="s">
        <v>65</v>
      </c>
      <c r="B11" s="573" t="s">
        <v>138</v>
      </c>
      <c r="C11" s="576"/>
      <c r="D11" s="574"/>
      <c r="E11" s="380" t="s">
        <v>75</v>
      </c>
      <c r="F11" s="114" t="s">
        <v>27</v>
      </c>
      <c r="G11" s="114" t="s">
        <v>35</v>
      </c>
      <c r="H11" s="114" t="s">
        <v>139</v>
      </c>
      <c r="I11" s="114" t="s">
        <v>18</v>
      </c>
      <c r="J11" s="380" t="s">
        <v>140</v>
      </c>
      <c r="K11" s="573" t="s">
        <v>141</v>
      </c>
      <c r="L11" s="574"/>
      <c r="M11" s="114" t="s">
        <v>142</v>
      </c>
      <c r="N11" s="114" t="s">
        <v>143</v>
      </c>
    </row>
    <row r="12" spans="1:14" ht="21" customHeight="1">
      <c r="A12" s="381">
        <v>1</v>
      </c>
      <c r="B12" s="566" t="str">
        <f>'Регистрация ОТ'!E12</f>
        <v>Шакирова Дана Эмилевна              </v>
      </c>
      <c r="C12" s="567"/>
      <c r="D12" s="568"/>
      <c r="E12" s="382">
        <f>'Регистрация ОТ'!G12</f>
        <v>0</v>
      </c>
      <c r="F12" s="383" t="str">
        <f>'Регистрация ОТ'!H12</f>
        <v>Казань</v>
      </c>
      <c r="G12" s="381">
        <f>'Регистрация ОТ'!F12</f>
        <v>0</v>
      </c>
      <c r="H12" s="383">
        <f>IF(B12=0,"",'Регистрация ОТ'!I12)</f>
        <v>1000</v>
      </c>
      <c r="I12" s="384">
        <f>'Регистрация ОТ'!D12</f>
        <v>357</v>
      </c>
      <c r="J12" s="385" t="str">
        <f>IF(B12=0,"",CONCATENATE("ОТ ",'Регистрация ОТ'!K12))</f>
        <v>ОТ </v>
      </c>
      <c r="K12" s="564"/>
      <c r="L12" s="565"/>
      <c r="M12" s="552">
        <f>IF(B12=0,"",Установка!$C$14)</f>
        <v>1000</v>
      </c>
      <c r="N12" s="387"/>
    </row>
    <row r="13" spans="1:14" ht="21" customHeight="1">
      <c r="A13" s="381">
        <v>2</v>
      </c>
      <c r="B13" s="566" t="str">
        <f>'Регистрация ОТ'!E13</f>
        <v>Самитова Зухра Марсовна</v>
      </c>
      <c r="C13" s="567"/>
      <c r="D13" s="568"/>
      <c r="E13" s="382">
        <f>'Регистрация ОТ'!G13</f>
        <v>0</v>
      </c>
      <c r="F13" s="383" t="str">
        <f>'Регистрация ОТ'!H13</f>
        <v>Елабуга</v>
      </c>
      <c r="G13" s="381">
        <f>'Регистрация ОТ'!F13</f>
        <v>0</v>
      </c>
      <c r="H13" s="383">
        <f>IF(B13=0,"",'Регистрация ОТ'!I13)</f>
        <v>1000</v>
      </c>
      <c r="I13" s="384">
        <f>'Регистрация ОТ'!D13</f>
        <v>235</v>
      </c>
      <c r="J13" s="385" t="str">
        <f>IF(B13=0,"",CONCATENATE("ОТ ",'Регистрация ОТ'!K13))</f>
        <v>ОТ </v>
      </c>
      <c r="K13" s="564"/>
      <c r="L13" s="565"/>
      <c r="M13" s="552">
        <f>IF(B13=0,"",Установка!$C$14)</f>
        <v>1000</v>
      </c>
      <c r="N13" s="387"/>
    </row>
    <row r="14" spans="1:14" ht="21" customHeight="1">
      <c r="A14" s="381">
        <v>3</v>
      </c>
      <c r="B14" s="566" t="str">
        <f>'Регистрация ОТ'!E14</f>
        <v>Мифтахова Арина Рамзисовна</v>
      </c>
      <c r="C14" s="567"/>
      <c r="D14" s="568"/>
      <c r="E14" s="382">
        <f>'Регистрация ОТ'!G14</f>
        <v>0</v>
      </c>
      <c r="F14" s="383" t="str">
        <f>'Регистрация ОТ'!H14</f>
        <v>Сургут</v>
      </c>
      <c r="G14" s="381">
        <f>'Регистрация ОТ'!F14</f>
        <v>0</v>
      </c>
      <c r="H14" s="383">
        <f>IF(B14=0,"",'Регистрация ОТ'!I14)</f>
        <v>1000</v>
      </c>
      <c r="I14" s="384">
        <f>'Регистрация ОТ'!D14</f>
        <v>221</v>
      </c>
      <c r="J14" s="385" t="str">
        <f>IF(B14=0,"",CONCATENATE("ОТ ",'Регистрация ОТ'!K14))</f>
        <v>ОТ </v>
      </c>
      <c r="K14" s="564"/>
      <c r="L14" s="565"/>
      <c r="M14" s="552">
        <f>IF(B14=0,"",Установка!$C$14)</f>
        <v>1000</v>
      </c>
      <c r="N14" s="387"/>
    </row>
    <row r="15" spans="1:14" ht="21" customHeight="1">
      <c r="A15" s="381">
        <v>4</v>
      </c>
      <c r="B15" s="566" t="str">
        <f>'Регистрация ОТ'!E15</f>
        <v>Кузнецова Анастасия Александровна                   </v>
      </c>
      <c r="C15" s="567"/>
      <c r="D15" s="568"/>
      <c r="E15" s="382">
        <f>'Регистрация ОТ'!G15</f>
        <v>0</v>
      </c>
      <c r="F15" s="383" t="str">
        <f>'Регистрация ОТ'!H15</f>
        <v>Казань</v>
      </c>
      <c r="G15" s="381">
        <f>'Регистрация ОТ'!F15</f>
        <v>0</v>
      </c>
      <c r="H15" s="383">
        <f>IF(B15=0,"",'Регистрация ОТ'!I15)</f>
        <v>1000</v>
      </c>
      <c r="I15" s="384">
        <f>'Регистрация ОТ'!D15</f>
        <v>143</v>
      </c>
      <c r="J15" s="385" t="str">
        <f>IF(B15=0,"",CONCATENATE("ОТ ",'Регистрация ОТ'!K15))</f>
        <v>ОТ </v>
      </c>
      <c r="K15" s="564"/>
      <c r="L15" s="565"/>
      <c r="M15" s="552">
        <f>IF(B15=0,"",Установка!$C$14)</f>
        <v>1000</v>
      </c>
      <c r="N15" s="387"/>
    </row>
    <row r="16" spans="1:14" ht="21" customHeight="1">
      <c r="A16" s="381">
        <v>5</v>
      </c>
      <c r="B16" s="566" t="str">
        <f>'Регистрация ОТ'!E16</f>
        <v>Матвеева Елизавета Андреевна</v>
      </c>
      <c r="C16" s="567"/>
      <c r="D16" s="568"/>
      <c r="E16" s="382">
        <f>'Регистрация ОТ'!G16</f>
        <v>0</v>
      </c>
      <c r="F16" s="383" t="str">
        <f>'Регистрация ОТ'!H16</f>
        <v>Казань</v>
      </c>
      <c r="G16" s="381">
        <f>'Регистрация ОТ'!F16</f>
        <v>0</v>
      </c>
      <c r="H16" s="383">
        <f>IF(B16=0,"",'Регистрация ОТ'!I16)</f>
        <v>1000</v>
      </c>
      <c r="I16" s="384">
        <f>'Регистрация ОТ'!D16</f>
        <v>91</v>
      </c>
      <c r="J16" s="385" t="str">
        <f>IF(B16=0,"",CONCATENATE("ОТ ",'Регистрация ОТ'!K16))</f>
        <v>ОТ </v>
      </c>
      <c r="K16" s="564"/>
      <c r="L16" s="565"/>
      <c r="M16" s="552">
        <f>IF(B16=0,"",Установка!$C$14)</f>
        <v>1000</v>
      </c>
      <c r="N16" s="387"/>
    </row>
    <row r="17" spans="1:14" ht="21" customHeight="1">
      <c r="A17" s="381">
        <v>6</v>
      </c>
      <c r="B17" s="566" t="str">
        <f>'Регистрация ОТ'!E17</f>
        <v>Сунгатуллина Элина Эльфатовна</v>
      </c>
      <c r="C17" s="567"/>
      <c r="D17" s="568"/>
      <c r="E17" s="382">
        <f>'Регистрация ОТ'!G17</f>
        <v>0</v>
      </c>
      <c r="F17" s="383" t="str">
        <f>'Регистрация ОТ'!H17</f>
        <v>Казань</v>
      </c>
      <c r="G17" s="381">
        <f>'Регистрация ОТ'!F17</f>
        <v>0</v>
      </c>
      <c r="H17" s="383">
        <f>IF(B17=0,"",'Регистрация ОТ'!I17)</f>
        <v>1000</v>
      </c>
      <c r="I17" s="384">
        <f>'Регистрация ОТ'!D17</f>
        <v>54</v>
      </c>
      <c r="J17" s="385" t="str">
        <f>IF(B17=0,"",CONCATENATE("ОТ ",'Регистрация ОТ'!K17))</f>
        <v>ОТ </v>
      </c>
      <c r="K17" s="564"/>
      <c r="L17" s="565"/>
      <c r="M17" s="552">
        <f>IF(B17=0,"",Установка!$C$14)</f>
        <v>1000</v>
      </c>
      <c r="N17" s="387"/>
    </row>
    <row r="18" spans="1:14" ht="21" customHeight="1">
      <c r="A18" s="381">
        <v>7</v>
      </c>
      <c r="B18" s="566" t="str">
        <f>'Регистрация ОТ'!E18</f>
        <v>Макарова Алиса Александровна</v>
      </c>
      <c r="C18" s="567"/>
      <c r="D18" s="568"/>
      <c r="E18" s="382">
        <f>'Регистрация ОТ'!G18</f>
        <v>0</v>
      </c>
      <c r="F18" s="383" t="str">
        <f>'Регистрация ОТ'!H18</f>
        <v>Казань</v>
      </c>
      <c r="G18" s="381">
        <f>'Регистрация ОТ'!F18</f>
        <v>0</v>
      </c>
      <c r="H18" s="383">
        <f>IF(B18=0,"",'Регистрация ОТ'!I18)</f>
        <v>1000</v>
      </c>
      <c r="I18" s="384">
        <f>'Регистрация ОТ'!D18</f>
        <v>49</v>
      </c>
      <c r="J18" s="385" t="str">
        <f>IF(B18=0,"",CONCATENATE("ОТ ",'Регистрация ОТ'!K18))</f>
        <v>ОТ </v>
      </c>
      <c r="K18" s="564"/>
      <c r="L18" s="565"/>
      <c r="M18" s="552">
        <f>IF(B18=0,"",Установка!$C$14)</f>
        <v>1000</v>
      </c>
      <c r="N18" s="387"/>
    </row>
    <row r="19" spans="1:14" ht="21" customHeight="1">
      <c r="A19" s="381">
        <v>8</v>
      </c>
      <c r="B19" s="566" t="str">
        <f>'Регистрация ОТ'!E19</f>
        <v>Евсеева Диана Денисовна</v>
      </c>
      <c r="C19" s="567"/>
      <c r="D19" s="568"/>
      <c r="E19" s="382">
        <f>'Регистрация ОТ'!G19</f>
        <v>0</v>
      </c>
      <c r="F19" s="383" t="str">
        <f>'Регистрация ОТ'!H19</f>
        <v>Казань</v>
      </c>
      <c r="G19" s="381">
        <f>'Регистрация ОТ'!F19</f>
        <v>0</v>
      </c>
      <c r="H19" s="383">
        <f>IF(B19=0,"",'Регистрация ОТ'!I19)</f>
        <v>1000</v>
      </c>
      <c r="I19" s="384">
        <f>'Регистрация ОТ'!D19</f>
        <v>48</v>
      </c>
      <c r="J19" s="385" t="str">
        <f>IF(B19=0,"",CONCATENATE("ОТ ",'Регистрация ОТ'!K19))</f>
        <v>ОТ </v>
      </c>
      <c r="K19" s="564"/>
      <c r="L19" s="565"/>
      <c r="M19" s="552">
        <f>IF(B19=0,"",Установка!$C$14)</f>
        <v>1000</v>
      </c>
      <c r="N19" s="387"/>
    </row>
    <row r="20" spans="1:14" ht="21" customHeight="1">
      <c r="A20" s="381">
        <v>9</v>
      </c>
      <c r="B20" s="566" t="str">
        <f>'Регистрация ОТ'!E20</f>
        <v>Шимарина Лада Сергеевна</v>
      </c>
      <c r="C20" s="567"/>
      <c r="D20" s="568"/>
      <c r="E20" s="382">
        <f>'Регистрация ОТ'!G20</f>
        <v>0</v>
      </c>
      <c r="F20" s="383" t="str">
        <f>'Регистрация ОТ'!H20</f>
        <v>Казань</v>
      </c>
      <c r="G20" s="381">
        <f>'Регистрация ОТ'!F20</f>
        <v>0</v>
      </c>
      <c r="H20" s="383">
        <f>IF(B20=0,"",'Регистрация ОТ'!I20)</f>
        <v>1000</v>
      </c>
      <c r="I20" s="384">
        <f>'Регистрация ОТ'!D20</f>
        <v>37</v>
      </c>
      <c r="J20" s="385" t="str">
        <f>IF(B20=0,"",CONCATENATE("ОТ ",'Регистрация ОТ'!K20))</f>
        <v>ОТ </v>
      </c>
      <c r="K20" s="564"/>
      <c r="L20" s="565"/>
      <c r="M20" s="552">
        <f>IF(B20=0,"",Установка!$C$14)</f>
        <v>1000</v>
      </c>
      <c r="N20" s="387"/>
    </row>
    <row r="21" spans="1:14" ht="21" customHeight="1">
      <c r="A21" s="381">
        <v>10</v>
      </c>
      <c r="B21" s="566" t="str">
        <f>'Регистрация ОТ'!E21</f>
        <v>Нигмедзянова Диана Ильдаровна</v>
      </c>
      <c r="C21" s="567"/>
      <c r="D21" s="568"/>
      <c r="E21" s="382">
        <f>'Регистрация ОТ'!G21</f>
        <v>0</v>
      </c>
      <c r="F21" s="383" t="str">
        <f>'Регистрация ОТ'!H21</f>
        <v>Казань</v>
      </c>
      <c r="G21" s="381">
        <f>'Регистрация ОТ'!F21</f>
        <v>0</v>
      </c>
      <c r="H21" s="383">
        <f>IF(B21=0,"",'Регистрация ОТ'!I21)</f>
        <v>1000</v>
      </c>
      <c r="I21" s="384">
        <f>'Регистрация ОТ'!D21</f>
        <v>34</v>
      </c>
      <c r="J21" s="385" t="str">
        <f>IF(B21=0,"",CONCATENATE("ОТ ",'Регистрация ОТ'!K21))</f>
        <v>ОТ </v>
      </c>
      <c r="K21" s="564"/>
      <c r="L21" s="565"/>
      <c r="M21" s="552">
        <f>IF(B21=0,"",Установка!$C$14)</f>
        <v>1000</v>
      </c>
      <c r="N21" s="387"/>
    </row>
    <row r="22" spans="1:14" ht="21" customHeight="1">
      <c r="A22" s="381">
        <v>11</v>
      </c>
      <c r="B22" s="566" t="str">
        <f>'Регистрация ОТ'!E22</f>
        <v>Максимова Ольга Сергеевна</v>
      </c>
      <c r="C22" s="567"/>
      <c r="D22" s="568"/>
      <c r="E22" s="382">
        <f>'Регистрация ОТ'!G22</f>
        <v>0</v>
      </c>
      <c r="F22" s="383" t="str">
        <f>'Регистрация ОТ'!H22</f>
        <v>Димитровград</v>
      </c>
      <c r="G22" s="381">
        <f>'Регистрация ОТ'!F22</f>
        <v>0</v>
      </c>
      <c r="H22" s="383">
        <f>IF(B22=0,"",'Регистрация ОТ'!I22)</f>
        <v>1000</v>
      </c>
      <c r="I22" s="384">
        <f>'Регистрация ОТ'!D22</f>
        <v>0</v>
      </c>
      <c r="J22" s="385" t="str">
        <f>IF(B22=0,"",CONCATENATE("ОТ ",'Регистрация ОТ'!K22))</f>
        <v>ОТ </v>
      </c>
      <c r="K22" s="564"/>
      <c r="L22" s="565"/>
      <c r="M22" s="552">
        <f>IF(B22=0,"",Установка!$C$14)</f>
        <v>1000</v>
      </c>
      <c r="N22" s="387"/>
    </row>
    <row r="23" spans="1:14" ht="21" customHeight="1">
      <c r="A23" s="381">
        <v>12</v>
      </c>
      <c r="B23" s="566">
        <f>'Регистрация ОТ'!E23</f>
        <v>0</v>
      </c>
      <c r="C23" s="567"/>
      <c r="D23" s="568"/>
      <c r="E23" s="382">
        <f>'Регистрация ОТ'!G23</f>
        <v>0</v>
      </c>
      <c r="F23" s="383">
        <f>'Регистрация ОТ'!H23</f>
        <v>0</v>
      </c>
      <c r="G23" s="381">
        <f>'Регистрация ОТ'!F23</f>
        <v>0</v>
      </c>
      <c r="H23" s="383">
        <f>IF(B23=0,"",'Регистрация ОТ'!I23)</f>
      </c>
      <c r="I23" s="384">
        <f>'Регистрация ОТ'!D23</f>
        <v>0</v>
      </c>
      <c r="J23" s="385">
        <f>IF(B23=0,"",CONCATENATE("ОТ ",'Регистрация ОТ'!K23))</f>
      </c>
      <c r="K23" s="564"/>
      <c r="L23" s="565"/>
      <c r="M23" s="552">
        <f>IF(B23=0,"",Установка!$C$14)</f>
      </c>
      <c r="N23" s="387"/>
    </row>
    <row r="24" spans="1:14" ht="21" customHeight="1">
      <c r="A24" s="381">
        <v>13</v>
      </c>
      <c r="B24" s="566">
        <f>'Регистрация ОТ'!E24</f>
        <v>0</v>
      </c>
      <c r="C24" s="567"/>
      <c r="D24" s="568"/>
      <c r="E24" s="382">
        <f>'Регистрация ОТ'!G24</f>
        <v>0</v>
      </c>
      <c r="F24" s="383">
        <f>'Регистрация ОТ'!H24</f>
        <v>0</v>
      </c>
      <c r="G24" s="381">
        <f>'Регистрация ОТ'!F24</f>
        <v>0</v>
      </c>
      <c r="H24" s="383">
        <f>IF(B24=0,"",'Регистрация ОТ'!I24)</f>
      </c>
      <c r="I24" s="384">
        <f>'Регистрация ОТ'!D24</f>
        <v>0</v>
      </c>
      <c r="J24" s="385">
        <f>IF(B24=0,"",CONCATENATE("ОТ ",'Регистрация ОТ'!K24))</f>
      </c>
      <c r="K24" s="564"/>
      <c r="L24" s="565"/>
      <c r="M24" s="552">
        <f>IF(B24=0,"",Установка!$C$14)</f>
      </c>
      <c r="N24" s="387"/>
    </row>
    <row r="25" spans="1:14" ht="21" customHeight="1">
      <c r="A25" s="381">
        <v>14</v>
      </c>
      <c r="B25" s="566">
        <f>'Регистрация ОТ'!E25</f>
        <v>0</v>
      </c>
      <c r="C25" s="567"/>
      <c r="D25" s="568"/>
      <c r="E25" s="382">
        <f>'Регистрация ОТ'!G25</f>
        <v>0</v>
      </c>
      <c r="F25" s="383">
        <f>'Регистрация ОТ'!H25</f>
        <v>0</v>
      </c>
      <c r="G25" s="381">
        <f>'Регистрация ОТ'!F25</f>
        <v>0</v>
      </c>
      <c r="H25" s="383">
        <f>IF(B25=0,"",'Регистрация ОТ'!I25)</f>
      </c>
      <c r="I25" s="384">
        <f>'Регистрация ОТ'!D25</f>
        <v>0</v>
      </c>
      <c r="J25" s="385">
        <f>IF(B25=0,"",CONCATENATE("ОТ ",'Регистрация ОТ'!K25))</f>
      </c>
      <c r="K25" s="564"/>
      <c r="L25" s="565"/>
      <c r="M25" s="552">
        <f>IF(B25=0,"",Установка!$C$14)</f>
      </c>
      <c r="N25" s="387"/>
    </row>
    <row r="26" spans="1:14" ht="21" customHeight="1">
      <c r="A26" s="381">
        <v>15</v>
      </c>
      <c r="B26" s="566">
        <f>'Регистрация ОТ'!E26</f>
        <v>0</v>
      </c>
      <c r="C26" s="567"/>
      <c r="D26" s="568"/>
      <c r="E26" s="382">
        <f>'Регистрация ОТ'!G26</f>
        <v>0</v>
      </c>
      <c r="F26" s="383">
        <f>'Регистрация ОТ'!H26</f>
        <v>0</v>
      </c>
      <c r="G26" s="381">
        <f>'Регистрация ОТ'!F26</f>
        <v>0</v>
      </c>
      <c r="H26" s="383">
        <f>IF(B26=0,"",'Регистрация ОТ'!I26)</f>
      </c>
      <c r="I26" s="384">
        <f>'Регистрация ОТ'!D26</f>
        <v>0</v>
      </c>
      <c r="J26" s="385">
        <f>IF(B26=0,"",CONCATENATE("ОТ ",'Регистрация ОТ'!K26))</f>
      </c>
      <c r="K26" s="564"/>
      <c r="L26" s="565"/>
      <c r="M26" s="552">
        <f>IF(B26=0,"",Установка!$C$14)</f>
      </c>
      <c r="N26" s="387"/>
    </row>
    <row r="27" spans="1:14" ht="21" customHeight="1">
      <c r="A27" s="381">
        <v>16</v>
      </c>
      <c r="B27" s="566">
        <f>'Регистрация ОТ'!E27</f>
        <v>0</v>
      </c>
      <c r="C27" s="567"/>
      <c r="D27" s="568"/>
      <c r="E27" s="382">
        <f>'Регистрация ОТ'!G27</f>
        <v>0</v>
      </c>
      <c r="F27" s="383">
        <f>'Регистрация ОТ'!H27</f>
        <v>0</v>
      </c>
      <c r="G27" s="381">
        <f>'Регистрация ОТ'!F27</f>
        <v>0</v>
      </c>
      <c r="H27" s="383">
        <f>IF(B27=0,"",'Регистрация ОТ'!I27)</f>
      </c>
      <c r="I27" s="384">
        <f>'Регистрация ОТ'!D27</f>
        <v>0</v>
      </c>
      <c r="J27" s="385">
        <f>IF(B27=0,"",CONCATENATE("ОТ ",'Регистрация ОТ'!K27))</f>
      </c>
      <c r="K27" s="564"/>
      <c r="L27" s="565"/>
      <c r="M27" s="552">
        <f>IF(B27=0,"",Установка!$C$14)</f>
      </c>
      <c r="N27" s="387"/>
    </row>
    <row r="28" spans="1:14" ht="21" customHeight="1" hidden="1">
      <c r="A28" s="381">
        <v>25</v>
      </c>
      <c r="B28" s="566"/>
      <c r="C28" s="567"/>
      <c r="D28" s="568"/>
      <c r="E28" s="388"/>
      <c r="F28" s="383"/>
      <c r="G28" s="381"/>
      <c r="H28" s="383"/>
      <c r="I28" s="384"/>
      <c r="J28" s="385"/>
      <c r="K28" s="564"/>
      <c r="L28" s="565"/>
      <c r="M28" s="386"/>
      <c r="N28" s="387"/>
    </row>
    <row r="29" spans="1:14" ht="21" customHeight="1" hidden="1">
      <c r="A29" s="381">
        <v>26</v>
      </c>
      <c r="B29" s="566"/>
      <c r="C29" s="567"/>
      <c r="D29" s="568"/>
      <c r="E29" s="388"/>
      <c r="F29" s="383"/>
      <c r="G29" s="381"/>
      <c r="H29" s="383"/>
      <c r="I29" s="384"/>
      <c r="J29" s="385"/>
      <c r="K29" s="564"/>
      <c r="L29" s="565"/>
      <c r="M29" s="386"/>
      <c r="N29" s="387"/>
    </row>
    <row r="30" spans="1:14" ht="21" customHeight="1" hidden="1">
      <c r="A30" s="381">
        <v>27</v>
      </c>
      <c r="B30" s="566"/>
      <c r="C30" s="567"/>
      <c r="D30" s="568"/>
      <c r="E30" s="388"/>
      <c r="F30" s="383"/>
      <c r="G30" s="381"/>
      <c r="H30" s="383"/>
      <c r="I30" s="384"/>
      <c r="J30" s="385"/>
      <c r="K30" s="564"/>
      <c r="L30" s="565"/>
      <c r="M30" s="386"/>
      <c r="N30" s="387"/>
    </row>
    <row r="31" spans="1:14" ht="21" customHeight="1" hidden="1">
      <c r="A31" s="381">
        <v>28</v>
      </c>
      <c r="B31" s="566"/>
      <c r="C31" s="567"/>
      <c r="D31" s="568"/>
      <c r="E31" s="388"/>
      <c r="F31" s="383"/>
      <c r="G31" s="381"/>
      <c r="H31" s="383"/>
      <c r="I31" s="384"/>
      <c r="J31" s="385"/>
      <c r="K31" s="564"/>
      <c r="L31" s="565"/>
      <c r="M31" s="386"/>
      <c r="N31" s="387"/>
    </row>
    <row r="32" spans="1:14" ht="21" customHeight="1" hidden="1">
      <c r="A32" s="381">
        <v>29</v>
      </c>
      <c r="B32" s="566"/>
      <c r="C32" s="567"/>
      <c r="D32" s="568"/>
      <c r="E32" s="388"/>
      <c r="F32" s="383"/>
      <c r="G32" s="381"/>
      <c r="H32" s="383"/>
      <c r="I32" s="384"/>
      <c r="J32" s="385"/>
      <c r="K32" s="564"/>
      <c r="L32" s="565"/>
      <c r="M32" s="386"/>
      <c r="N32" s="387"/>
    </row>
    <row r="33" spans="1:14" ht="21" customHeight="1" hidden="1">
      <c r="A33" s="381">
        <v>30</v>
      </c>
      <c r="B33" s="566"/>
      <c r="C33" s="567"/>
      <c r="D33" s="568"/>
      <c r="E33" s="388"/>
      <c r="F33" s="383"/>
      <c r="G33" s="381"/>
      <c r="H33" s="383"/>
      <c r="I33" s="384"/>
      <c r="J33" s="385"/>
      <c r="K33" s="564"/>
      <c r="L33" s="565"/>
      <c r="M33" s="386"/>
      <c r="N33" s="387"/>
    </row>
    <row r="34" spans="1:14" ht="21" customHeight="1" hidden="1">
      <c r="A34" s="381">
        <v>31</v>
      </c>
      <c r="B34" s="566"/>
      <c r="C34" s="567"/>
      <c r="D34" s="568"/>
      <c r="E34" s="388"/>
      <c r="F34" s="383"/>
      <c r="G34" s="381"/>
      <c r="H34" s="383"/>
      <c r="I34" s="384"/>
      <c r="J34" s="385"/>
      <c r="K34" s="564"/>
      <c r="L34" s="565"/>
      <c r="M34" s="386"/>
      <c r="N34" s="387"/>
    </row>
    <row r="35" spans="1:14" ht="21" customHeight="1" hidden="1">
      <c r="A35" s="381">
        <v>32</v>
      </c>
      <c r="B35" s="566"/>
      <c r="C35" s="567"/>
      <c r="D35" s="568"/>
      <c r="E35" s="388"/>
      <c r="F35" s="383"/>
      <c r="G35" s="381"/>
      <c r="H35" s="383"/>
      <c r="I35" s="384"/>
      <c r="J35" s="385"/>
      <c r="K35" s="564"/>
      <c r="L35" s="565"/>
      <c r="M35" s="386"/>
      <c r="N35" s="387"/>
    </row>
    <row r="36" ht="7.5" customHeight="1"/>
    <row r="37" spans="1:12" s="6" customFormat="1" ht="15" customHeight="1">
      <c r="A37" s="28"/>
      <c r="C37" s="7"/>
      <c r="D37" s="42" t="s">
        <v>144</v>
      </c>
      <c r="E37" s="554"/>
      <c r="F37" s="554"/>
      <c r="G37" s="554"/>
      <c r="H37" s="554"/>
      <c r="I37" s="554"/>
      <c r="J37" s="554"/>
      <c r="K37" s="554"/>
      <c r="L37" s="2"/>
    </row>
    <row r="38" spans="1:12" s="6" customFormat="1" ht="10.5" customHeight="1">
      <c r="A38" s="28"/>
      <c r="C38" s="389"/>
      <c r="E38" s="577" t="s">
        <v>51</v>
      </c>
      <c r="F38" s="577"/>
      <c r="G38" s="577"/>
      <c r="H38" s="577"/>
      <c r="I38" s="577"/>
      <c r="J38" s="577"/>
      <c r="K38" s="577"/>
      <c r="L38" s="390"/>
    </row>
    <row r="39" spans="3:11" ht="15" customHeight="1">
      <c r="C39" s="117"/>
      <c r="D39" s="42" t="s">
        <v>2</v>
      </c>
      <c r="E39" s="579"/>
      <c r="F39" s="579"/>
      <c r="G39" s="391"/>
      <c r="H39" s="391"/>
      <c r="I39" s="391"/>
      <c r="J39" s="391"/>
      <c r="K39" s="392" t="str">
        <f>UPPER(Установка!C11)</f>
        <v>ГОРШЕНИН Э.А.</v>
      </c>
    </row>
    <row r="40" spans="3:11" ht="15" customHeight="1">
      <c r="C40" s="389"/>
      <c r="D40" s="389"/>
      <c r="E40" s="577" t="s">
        <v>145</v>
      </c>
      <c r="F40" s="577"/>
      <c r="G40" s="577"/>
      <c r="H40" s="577"/>
      <c r="I40" s="577"/>
      <c r="J40" s="577"/>
      <c r="K40" s="577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sheetProtection sheet="1" objects="1" scenarios="1" selectLockedCells="1"/>
  <mergeCells count="61">
    <mergeCell ref="M7:N7"/>
    <mergeCell ref="E39:F39"/>
    <mergeCell ref="K33:L33"/>
    <mergeCell ref="K34:L34"/>
    <mergeCell ref="K35:L35"/>
    <mergeCell ref="K28:L28"/>
    <mergeCell ref="K29:L29"/>
    <mergeCell ref="K30:L30"/>
    <mergeCell ref="K31:L31"/>
    <mergeCell ref="K27:L27"/>
    <mergeCell ref="K18:L18"/>
    <mergeCell ref="K19:L19"/>
    <mergeCell ref="K20:L20"/>
    <mergeCell ref="K26:L26"/>
    <mergeCell ref="K21:L21"/>
    <mergeCell ref="K22:L22"/>
    <mergeCell ref="K23:L23"/>
    <mergeCell ref="K24:L24"/>
    <mergeCell ref="K25:L25"/>
    <mergeCell ref="E38:K38"/>
    <mergeCell ref="K32:L32"/>
    <mergeCell ref="B28:D28"/>
    <mergeCell ref="B29:D29"/>
    <mergeCell ref="B30:D30"/>
    <mergeCell ref="K13:L13"/>
    <mergeCell ref="K14:L14"/>
    <mergeCell ref="K15:L15"/>
    <mergeCell ref="K16:L16"/>
    <mergeCell ref="K17:L17"/>
    <mergeCell ref="B26:D26"/>
    <mergeCell ref="B23:D23"/>
    <mergeCell ref="B27:D27"/>
    <mergeCell ref="E40:K40"/>
    <mergeCell ref="B31:D31"/>
    <mergeCell ref="B32:D32"/>
    <mergeCell ref="B33:D33"/>
    <mergeCell ref="B34:D34"/>
    <mergeCell ref="B35:D35"/>
    <mergeCell ref="E37:K37"/>
    <mergeCell ref="B21:D21"/>
    <mergeCell ref="B22:D22"/>
    <mergeCell ref="B17:D17"/>
    <mergeCell ref="B18:D18"/>
    <mergeCell ref="B24:D24"/>
    <mergeCell ref="B25:D25"/>
    <mergeCell ref="B11:D11"/>
    <mergeCell ref="B13:D13"/>
    <mergeCell ref="B14:D14"/>
    <mergeCell ref="B15:D15"/>
    <mergeCell ref="B16:D16"/>
    <mergeCell ref="B20:D20"/>
    <mergeCell ref="K12:L12"/>
    <mergeCell ref="B19:D19"/>
    <mergeCell ref="A3:N3"/>
    <mergeCell ref="A4:N4"/>
    <mergeCell ref="A6:N6"/>
    <mergeCell ref="D7:E7"/>
    <mergeCell ref="B12:D12"/>
    <mergeCell ref="A9:B9"/>
    <mergeCell ref="K11:L11"/>
    <mergeCell ref="A5:N5"/>
  </mergeCells>
  <printOptions horizontalCentered="1"/>
  <pageMargins left="0.15748031496062992" right="0.15748031496062992" top="0.15748031496062992" bottom="0.5" header="0.15748031496062992" footer="0.15"/>
  <pageSetup fitToHeight="2" fitToWidth="1" horizontalDpi="600" verticalDpi="600" orientation="landscape" paperSize="9" scale="70" r:id="rId3"/>
  <headerFooter alignWithMargins="0">
    <oddFooter>&amp;CСтраница &amp;P из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outlinePr summaryBelow="0" summaryRight="0"/>
    <pageSetUpPr fitToPage="1"/>
  </sheetPr>
  <dimension ref="A1:T66"/>
  <sheetViews>
    <sheetView showGridLines="0" showRowColHeaders="0" showOutlineSymbols="0" zoomScale="85" zoomScaleNormal="85" zoomScaleSheetLayoutView="100" zoomScalePageLayoutView="0" workbookViewId="0" topLeftCell="A1">
      <pane ySplit="11" topLeftCell="A12" activePane="bottomLeft" state="frozen"/>
      <selection pane="topLeft" activeCell="A5" sqref="A5:R5"/>
      <selection pane="bottomLeft" activeCell="C12" sqref="C12"/>
    </sheetView>
  </sheetViews>
  <sheetFormatPr defaultColWidth="9.00390625" defaultRowHeight="12.75" customHeight="1"/>
  <cols>
    <col min="1" max="1" width="4.75390625" style="135" customWidth="1"/>
    <col min="2" max="2" width="4.75390625" style="124" customWidth="1"/>
    <col min="3" max="3" width="7.875" style="124" customWidth="1"/>
    <col min="4" max="4" width="13.75390625" style="119" customWidth="1"/>
    <col min="5" max="5" width="42.625" style="119" customWidth="1"/>
    <col min="6" max="6" width="6.75390625" style="119" customWidth="1"/>
    <col min="7" max="7" width="10.125" style="159" customWidth="1"/>
    <col min="8" max="8" width="16.00390625" style="125" bestFit="1" customWidth="1"/>
    <col min="9" max="9" width="6.875" style="119" customWidth="1"/>
    <col min="10" max="10" width="9.625" style="159" customWidth="1"/>
    <col min="11" max="11" width="11.375" style="125" customWidth="1"/>
    <col min="12" max="12" width="11.625" style="119" customWidth="1"/>
    <col min="13" max="13" width="11.00390625" style="224" hidden="1" customWidth="1"/>
    <col min="14" max="14" width="12.125" style="130" hidden="1" customWidth="1"/>
    <col min="15" max="15" width="9.125" style="130" hidden="1" customWidth="1"/>
    <col min="16" max="20" width="9.125" style="123" customWidth="1"/>
    <col min="21" max="16384" width="9.125" style="119" customWidth="1"/>
  </cols>
  <sheetData>
    <row r="1" spans="1:15" ht="10.5" customHeight="1">
      <c r="A1" s="562" t="s">
        <v>68</v>
      </c>
      <c r="B1" s="562"/>
      <c r="C1" s="562"/>
      <c r="D1" s="562"/>
      <c r="E1" s="248" t="str">
        <f>UPPER(Установка!C3)</f>
        <v>ТВД-ЛЕТНЕЕ ПЕРВЕНСТВО Г.КАЗАНИ</v>
      </c>
      <c r="F1" s="118"/>
      <c r="G1" s="161"/>
      <c r="H1" s="127"/>
      <c r="I1" s="118"/>
      <c r="J1" s="119"/>
      <c r="L1" s="159"/>
      <c r="M1" s="144"/>
      <c r="N1" s="170"/>
      <c r="O1" s="171"/>
    </row>
    <row r="2" spans="1:15" ht="10.5" customHeight="1">
      <c r="A2" s="562" t="s">
        <v>33</v>
      </c>
      <c r="B2" s="562"/>
      <c r="C2" s="562"/>
      <c r="D2" s="562"/>
      <c r="E2" s="248" t="str">
        <f>IF(Установка!C7="","",Установка!C7)</f>
        <v>06.06-08.06.2014</v>
      </c>
      <c r="F2" s="120"/>
      <c r="G2" s="162"/>
      <c r="H2" s="128"/>
      <c r="J2" s="119"/>
      <c r="L2" s="159"/>
      <c r="M2" s="144"/>
      <c r="N2" s="170"/>
      <c r="O2" s="171"/>
    </row>
    <row r="3" spans="1:15" ht="10.5" customHeight="1">
      <c r="A3" s="562" t="s">
        <v>32</v>
      </c>
      <c r="B3" s="562"/>
      <c r="C3" s="562"/>
      <c r="D3" s="562"/>
      <c r="E3" s="249" t="str">
        <f>UPPER(Установка!C6)</f>
        <v>Г.КАЗАНЬ</v>
      </c>
      <c r="F3" s="121"/>
      <c r="G3" s="122"/>
      <c r="H3" s="129"/>
      <c r="J3" s="119"/>
      <c r="L3" s="159"/>
      <c r="M3" s="144"/>
      <c r="N3" s="170"/>
      <c r="O3" s="171"/>
    </row>
    <row r="4" spans="1:15" ht="10.5" customHeight="1">
      <c r="A4" s="562" t="s">
        <v>69</v>
      </c>
      <c r="B4" s="562"/>
      <c r="C4" s="562"/>
      <c r="D4" s="562"/>
      <c r="E4" s="249" t="str">
        <f>UPPER(Установка!C8)</f>
        <v>VГ</v>
      </c>
      <c r="J4" s="119"/>
      <c r="L4" s="159"/>
      <c r="M4" s="144"/>
      <c r="N4" s="170"/>
      <c r="O4" s="171"/>
    </row>
    <row r="5" spans="1:15" ht="10.5" customHeight="1">
      <c r="A5" s="562" t="s">
        <v>48</v>
      </c>
      <c r="B5" s="562"/>
      <c r="C5" s="562"/>
      <c r="D5" s="562"/>
      <c r="E5" s="249" t="str">
        <f>UPPER(Установка!C4)</f>
        <v>14 ЛЕТ И МОЛОЖЕ</v>
      </c>
      <c r="J5" s="119"/>
      <c r="L5" s="159"/>
      <c r="M5" s="144"/>
      <c r="N5" s="170"/>
      <c r="O5" s="171"/>
    </row>
    <row r="6" spans="1:15" ht="10.5" customHeight="1">
      <c r="A6" s="562" t="s">
        <v>70</v>
      </c>
      <c r="B6" s="562"/>
      <c r="C6" s="562"/>
      <c r="D6" s="562"/>
      <c r="E6" s="249" t="str">
        <f>UPPER(Установка!C5)</f>
        <v>ДЕВУШКИ</v>
      </c>
      <c r="J6" s="119"/>
      <c r="L6" s="159"/>
      <c r="M6" s="144"/>
      <c r="N6" s="170"/>
      <c r="O6" s="171"/>
    </row>
    <row r="7" spans="1:15" ht="10.5" customHeight="1">
      <c r="A7" s="562" t="s">
        <v>71</v>
      </c>
      <c r="B7" s="562"/>
      <c r="C7" s="562"/>
      <c r="D7" s="562"/>
      <c r="E7" s="250">
        <f>IF(Установка!C9="","",Установка!C9)</f>
        <v>41792</v>
      </c>
      <c r="J7" s="119"/>
      <c r="L7" s="159"/>
      <c r="M7" s="144"/>
      <c r="N7" s="170"/>
      <c r="O7" s="171"/>
    </row>
    <row r="8" spans="1:15" ht="10.5" customHeight="1">
      <c r="A8" s="562" t="s">
        <v>72</v>
      </c>
      <c r="B8" s="562"/>
      <c r="C8" s="562"/>
      <c r="D8" s="562"/>
      <c r="E8" s="251">
        <f>IF(Установка!C10="","",Установка!C10)</f>
        <v>41791</v>
      </c>
      <c r="F8" s="130"/>
      <c r="G8" s="131"/>
      <c r="H8" s="132"/>
      <c r="I8" s="130"/>
      <c r="J8" s="130"/>
      <c r="K8" s="132"/>
      <c r="L8" s="131"/>
      <c r="M8" s="144"/>
      <c r="N8" s="170"/>
      <c r="O8" s="171"/>
    </row>
    <row r="9" spans="1:15" ht="15">
      <c r="A9" s="563" t="s">
        <v>77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235" t="s">
        <v>89</v>
      </c>
      <c r="N9" s="235" t="s">
        <v>90</v>
      </c>
      <c r="O9" s="235" t="s">
        <v>91</v>
      </c>
    </row>
    <row r="10" spans="1:20" s="234" customFormat="1" ht="42" customHeight="1">
      <c r="A10" s="228"/>
      <c r="B10" s="229"/>
      <c r="C10" s="229"/>
      <c r="D10" s="230"/>
      <c r="E10" s="230"/>
      <c r="F10" s="230"/>
      <c r="G10" s="231"/>
      <c r="H10" s="232"/>
      <c r="I10" s="230"/>
      <c r="J10" s="231"/>
      <c r="K10" s="232"/>
      <c r="L10" s="230"/>
      <c r="M10" s="233"/>
      <c r="N10" s="233">
        <v>0</v>
      </c>
      <c r="O10" s="233">
        <v>0</v>
      </c>
      <c r="P10" s="326"/>
      <c r="Q10" s="326"/>
      <c r="R10" s="326"/>
      <c r="S10" s="326"/>
      <c r="T10" s="326"/>
    </row>
    <row r="11" spans="1:20" s="126" customFormat="1" ht="38.25">
      <c r="A11" s="320"/>
      <c r="B11" s="321" t="s">
        <v>16</v>
      </c>
      <c r="C11" s="321" t="s">
        <v>73</v>
      </c>
      <c r="D11" s="321" t="s">
        <v>119</v>
      </c>
      <c r="E11" s="321" t="s">
        <v>74</v>
      </c>
      <c r="F11" s="321" t="s">
        <v>62</v>
      </c>
      <c r="G11" s="322" t="s">
        <v>75</v>
      </c>
      <c r="H11" s="323" t="s">
        <v>27</v>
      </c>
      <c r="I11" s="321" t="s">
        <v>76</v>
      </c>
      <c r="J11" s="322" t="s">
        <v>79</v>
      </c>
      <c r="K11" s="323" t="s">
        <v>81</v>
      </c>
      <c r="L11" s="324" t="s">
        <v>80</v>
      </c>
      <c r="M11" s="225" t="s">
        <v>58</v>
      </c>
      <c r="N11" s="319"/>
      <c r="O11" s="319"/>
      <c r="P11" s="325"/>
      <c r="Q11" s="325"/>
      <c r="R11" s="325"/>
      <c r="S11" s="325"/>
      <c r="T11" s="325"/>
    </row>
    <row r="12" spans="1:15" s="134" customFormat="1" ht="25.5" customHeight="1">
      <c r="A12" s="136"/>
      <c r="B12" s="137">
        <f aca="true" t="shared" si="0" ref="B12:B43">ROW()-11</f>
        <v>1</v>
      </c>
      <c r="C12" s="308"/>
      <c r="D12" s="308"/>
      <c r="E12" s="147"/>
      <c r="F12" s="148"/>
      <c r="G12" s="149"/>
      <c r="H12" s="147"/>
      <c r="I12" s="148"/>
      <c r="J12" s="149"/>
      <c r="K12" s="148"/>
      <c r="L12" s="150"/>
      <c r="M12" s="226">
        <f aca="true" t="shared" si="1" ref="M12:M43">IF(ISBLANK(E12),2,IF(ISBLANK(J12),0,1))</f>
        <v>2</v>
      </c>
      <c r="N12" s="133"/>
      <c r="O12" s="133"/>
    </row>
    <row r="13" spans="1:15" s="134" customFormat="1" ht="25.5" customHeight="1">
      <c r="A13" s="136"/>
      <c r="B13" s="137">
        <f t="shared" si="0"/>
        <v>2</v>
      </c>
      <c r="C13" s="308"/>
      <c r="D13" s="308"/>
      <c r="E13" s="147"/>
      <c r="F13" s="148"/>
      <c r="G13" s="149"/>
      <c r="H13" s="147"/>
      <c r="I13" s="148"/>
      <c r="J13" s="149"/>
      <c r="K13" s="148"/>
      <c r="L13" s="150"/>
      <c r="M13" s="226">
        <f t="shared" si="1"/>
        <v>2</v>
      </c>
      <c r="N13" s="133"/>
      <c r="O13" s="133"/>
    </row>
    <row r="14" spans="1:15" s="134" customFormat="1" ht="25.5" customHeight="1">
      <c r="A14" s="142"/>
      <c r="B14" s="143">
        <f t="shared" si="0"/>
        <v>3</v>
      </c>
      <c r="C14" s="309"/>
      <c r="D14" s="309"/>
      <c r="E14" s="151"/>
      <c r="F14" s="152"/>
      <c r="G14" s="153"/>
      <c r="H14" s="151"/>
      <c r="I14" s="152"/>
      <c r="J14" s="153"/>
      <c r="K14" s="152"/>
      <c r="L14" s="154"/>
      <c r="M14" s="226">
        <f t="shared" si="1"/>
        <v>2</v>
      </c>
      <c r="N14" s="133"/>
      <c r="O14" s="133"/>
    </row>
    <row r="15" spans="1:15" s="134" customFormat="1" ht="25.5" customHeight="1">
      <c r="A15" s="142"/>
      <c r="B15" s="143">
        <f t="shared" si="0"/>
        <v>4</v>
      </c>
      <c r="C15" s="309"/>
      <c r="D15" s="309"/>
      <c r="E15" s="151"/>
      <c r="F15" s="152"/>
      <c r="G15" s="153"/>
      <c r="H15" s="151"/>
      <c r="I15" s="152"/>
      <c r="J15" s="153"/>
      <c r="K15" s="152"/>
      <c r="L15" s="154"/>
      <c r="M15" s="226">
        <f t="shared" si="1"/>
        <v>2</v>
      </c>
      <c r="N15" s="133"/>
      <c r="O15" s="133"/>
    </row>
    <row r="16" spans="1:15" s="134" customFormat="1" ht="25.5" customHeight="1">
      <c r="A16" s="142"/>
      <c r="B16" s="143">
        <f t="shared" si="0"/>
        <v>5</v>
      </c>
      <c r="C16" s="309"/>
      <c r="D16" s="309"/>
      <c r="E16" s="151"/>
      <c r="F16" s="152"/>
      <c r="G16" s="153"/>
      <c r="H16" s="151"/>
      <c r="I16" s="152"/>
      <c r="J16" s="153"/>
      <c r="K16" s="152"/>
      <c r="L16" s="154"/>
      <c r="M16" s="226">
        <f t="shared" si="1"/>
        <v>2</v>
      </c>
      <c r="N16" s="133"/>
      <c r="O16" s="133"/>
    </row>
    <row r="17" spans="1:15" s="134" customFormat="1" ht="25.5" customHeight="1">
      <c r="A17" s="142"/>
      <c r="B17" s="143">
        <f t="shared" si="0"/>
        <v>6</v>
      </c>
      <c r="C17" s="309"/>
      <c r="D17" s="309"/>
      <c r="E17" s="151"/>
      <c r="F17" s="152"/>
      <c r="G17" s="153"/>
      <c r="H17" s="151"/>
      <c r="I17" s="152"/>
      <c r="J17" s="153"/>
      <c r="K17" s="152"/>
      <c r="L17" s="154"/>
      <c r="M17" s="226">
        <f t="shared" si="1"/>
        <v>2</v>
      </c>
      <c r="N17" s="133"/>
      <c r="O17" s="133"/>
    </row>
    <row r="18" spans="1:15" s="134" customFormat="1" ht="25.5" customHeight="1">
      <c r="A18" s="142"/>
      <c r="B18" s="143">
        <f t="shared" si="0"/>
        <v>7</v>
      </c>
      <c r="C18" s="309"/>
      <c r="D18" s="309"/>
      <c r="E18" s="151"/>
      <c r="F18" s="152"/>
      <c r="G18" s="153"/>
      <c r="H18" s="151"/>
      <c r="I18" s="152"/>
      <c r="J18" s="153"/>
      <c r="K18" s="152"/>
      <c r="L18" s="154"/>
      <c r="M18" s="226">
        <f t="shared" si="1"/>
        <v>2</v>
      </c>
      <c r="N18" s="133"/>
      <c r="O18" s="133"/>
    </row>
    <row r="19" spans="1:15" s="134" customFormat="1" ht="25.5" customHeight="1">
      <c r="A19" s="142"/>
      <c r="B19" s="143">
        <f t="shared" si="0"/>
        <v>8</v>
      </c>
      <c r="C19" s="309"/>
      <c r="D19" s="309"/>
      <c r="E19" s="151"/>
      <c r="F19" s="152"/>
      <c r="G19" s="153"/>
      <c r="H19" s="151"/>
      <c r="I19" s="152"/>
      <c r="J19" s="153"/>
      <c r="K19" s="152"/>
      <c r="L19" s="154"/>
      <c r="M19" s="226">
        <f t="shared" si="1"/>
        <v>2</v>
      </c>
      <c r="N19" s="133"/>
      <c r="O19" s="133"/>
    </row>
    <row r="20" spans="1:15" s="134" customFormat="1" ht="25.5" customHeight="1">
      <c r="A20" s="142"/>
      <c r="B20" s="143">
        <f t="shared" si="0"/>
        <v>9</v>
      </c>
      <c r="C20" s="309"/>
      <c r="D20" s="309"/>
      <c r="E20" s="151"/>
      <c r="F20" s="152"/>
      <c r="G20" s="153"/>
      <c r="H20" s="151"/>
      <c r="I20" s="152"/>
      <c r="J20" s="153"/>
      <c r="K20" s="152"/>
      <c r="L20" s="154"/>
      <c r="M20" s="226">
        <f t="shared" si="1"/>
        <v>2</v>
      </c>
      <c r="N20" s="133"/>
      <c r="O20" s="133"/>
    </row>
    <row r="21" spans="1:15" s="134" customFormat="1" ht="25.5" customHeight="1">
      <c r="A21" s="142"/>
      <c r="B21" s="143">
        <f t="shared" si="0"/>
        <v>10</v>
      </c>
      <c r="C21" s="309"/>
      <c r="D21" s="309"/>
      <c r="E21" s="151"/>
      <c r="F21" s="152"/>
      <c r="G21" s="153"/>
      <c r="H21" s="151"/>
      <c r="I21" s="152"/>
      <c r="J21" s="153"/>
      <c r="K21" s="152"/>
      <c r="L21" s="154"/>
      <c r="M21" s="226">
        <f t="shared" si="1"/>
        <v>2</v>
      </c>
      <c r="N21" s="133"/>
      <c r="O21" s="133"/>
    </row>
    <row r="22" spans="1:15" s="134" customFormat="1" ht="25.5" customHeight="1">
      <c r="A22" s="142"/>
      <c r="B22" s="143">
        <f t="shared" si="0"/>
        <v>11</v>
      </c>
      <c r="C22" s="309"/>
      <c r="D22" s="309"/>
      <c r="E22" s="151"/>
      <c r="F22" s="152"/>
      <c r="G22" s="153"/>
      <c r="H22" s="151"/>
      <c r="I22" s="152"/>
      <c r="J22" s="153"/>
      <c r="K22" s="152"/>
      <c r="L22" s="154"/>
      <c r="M22" s="226">
        <f t="shared" si="1"/>
        <v>2</v>
      </c>
      <c r="N22" s="133"/>
      <c r="O22" s="133"/>
    </row>
    <row r="23" spans="1:15" s="134" customFormat="1" ht="25.5" customHeight="1">
      <c r="A23" s="142"/>
      <c r="B23" s="143">
        <f t="shared" si="0"/>
        <v>12</v>
      </c>
      <c r="C23" s="309"/>
      <c r="D23" s="309"/>
      <c r="E23" s="151"/>
      <c r="F23" s="152"/>
      <c r="G23" s="153"/>
      <c r="H23" s="151"/>
      <c r="I23" s="152"/>
      <c r="J23" s="153"/>
      <c r="K23" s="152"/>
      <c r="L23" s="154"/>
      <c r="M23" s="226">
        <f t="shared" si="1"/>
        <v>2</v>
      </c>
      <c r="N23" s="133"/>
      <c r="O23" s="133"/>
    </row>
    <row r="24" spans="1:15" s="134" customFormat="1" ht="25.5" customHeight="1">
      <c r="A24" s="142"/>
      <c r="B24" s="143">
        <f t="shared" si="0"/>
        <v>13</v>
      </c>
      <c r="C24" s="309"/>
      <c r="D24" s="309"/>
      <c r="E24" s="151"/>
      <c r="F24" s="152"/>
      <c r="G24" s="153"/>
      <c r="H24" s="151"/>
      <c r="I24" s="152"/>
      <c r="J24" s="153"/>
      <c r="K24" s="152"/>
      <c r="L24" s="154"/>
      <c r="M24" s="226">
        <f t="shared" si="1"/>
        <v>2</v>
      </c>
      <c r="N24" s="133"/>
      <c r="O24" s="133"/>
    </row>
    <row r="25" spans="1:15" s="134" customFormat="1" ht="25.5" customHeight="1">
      <c r="A25" s="142"/>
      <c r="B25" s="143">
        <f t="shared" si="0"/>
        <v>14</v>
      </c>
      <c r="C25" s="309"/>
      <c r="D25" s="309"/>
      <c r="E25" s="151"/>
      <c r="F25" s="152"/>
      <c r="G25" s="153"/>
      <c r="H25" s="151"/>
      <c r="I25" s="152"/>
      <c r="J25" s="153"/>
      <c r="K25" s="152"/>
      <c r="L25" s="154"/>
      <c r="M25" s="226">
        <f t="shared" si="1"/>
        <v>2</v>
      </c>
      <c r="N25" s="133"/>
      <c r="O25" s="133"/>
    </row>
    <row r="26" spans="1:15" s="134" customFormat="1" ht="25.5" customHeight="1">
      <c r="A26" s="142"/>
      <c r="B26" s="143">
        <f t="shared" si="0"/>
        <v>15</v>
      </c>
      <c r="C26" s="309"/>
      <c r="D26" s="309"/>
      <c r="E26" s="151"/>
      <c r="F26" s="152"/>
      <c r="G26" s="153"/>
      <c r="H26" s="151"/>
      <c r="I26" s="152"/>
      <c r="J26" s="153"/>
      <c r="K26" s="152"/>
      <c r="L26" s="154"/>
      <c r="M26" s="226">
        <f t="shared" si="1"/>
        <v>2</v>
      </c>
      <c r="N26" s="133"/>
      <c r="O26" s="133"/>
    </row>
    <row r="27" spans="1:15" s="134" customFormat="1" ht="25.5" customHeight="1">
      <c r="A27" s="142"/>
      <c r="B27" s="143">
        <f t="shared" si="0"/>
        <v>16</v>
      </c>
      <c r="C27" s="309"/>
      <c r="D27" s="309"/>
      <c r="E27" s="151"/>
      <c r="F27" s="152"/>
      <c r="G27" s="153"/>
      <c r="H27" s="151"/>
      <c r="I27" s="152"/>
      <c r="J27" s="153"/>
      <c r="K27" s="152"/>
      <c r="L27" s="154"/>
      <c r="M27" s="226">
        <f t="shared" si="1"/>
        <v>2</v>
      </c>
      <c r="N27" s="133"/>
      <c r="O27" s="133"/>
    </row>
    <row r="28" spans="1:15" s="134" customFormat="1" ht="25.5" customHeight="1">
      <c r="A28" s="142"/>
      <c r="B28" s="143">
        <f t="shared" si="0"/>
        <v>17</v>
      </c>
      <c r="C28" s="309"/>
      <c r="D28" s="309"/>
      <c r="E28" s="151"/>
      <c r="F28" s="152"/>
      <c r="G28" s="153"/>
      <c r="H28" s="151"/>
      <c r="I28" s="152"/>
      <c r="J28" s="153"/>
      <c r="K28" s="152"/>
      <c r="L28" s="154"/>
      <c r="M28" s="226">
        <f t="shared" si="1"/>
        <v>2</v>
      </c>
      <c r="N28" s="133"/>
      <c r="O28" s="133"/>
    </row>
    <row r="29" spans="1:15" s="134" customFormat="1" ht="25.5" customHeight="1">
      <c r="A29" s="142"/>
      <c r="B29" s="143">
        <f t="shared" si="0"/>
        <v>18</v>
      </c>
      <c r="C29" s="309"/>
      <c r="D29" s="309"/>
      <c r="E29" s="151"/>
      <c r="F29" s="152"/>
      <c r="G29" s="153"/>
      <c r="H29" s="151"/>
      <c r="I29" s="152"/>
      <c r="J29" s="153"/>
      <c r="K29" s="152"/>
      <c r="L29" s="154"/>
      <c r="M29" s="226">
        <f t="shared" si="1"/>
        <v>2</v>
      </c>
      <c r="N29" s="133"/>
      <c r="O29" s="133"/>
    </row>
    <row r="30" spans="1:15" s="134" customFormat="1" ht="25.5" customHeight="1">
      <c r="A30" s="142"/>
      <c r="B30" s="143">
        <f t="shared" si="0"/>
        <v>19</v>
      </c>
      <c r="C30" s="309"/>
      <c r="D30" s="309"/>
      <c r="E30" s="151"/>
      <c r="F30" s="152"/>
      <c r="G30" s="153"/>
      <c r="H30" s="151"/>
      <c r="I30" s="152"/>
      <c r="J30" s="153"/>
      <c r="K30" s="152"/>
      <c r="L30" s="154"/>
      <c r="M30" s="226">
        <f t="shared" si="1"/>
        <v>2</v>
      </c>
      <c r="N30" s="133"/>
      <c r="O30" s="133"/>
    </row>
    <row r="31" spans="1:15" s="134" customFormat="1" ht="25.5" customHeight="1">
      <c r="A31" s="142"/>
      <c r="B31" s="143">
        <f t="shared" si="0"/>
        <v>20</v>
      </c>
      <c r="C31" s="309"/>
      <c r="D31" s="309"/>
      <c r="E31" s="151"/>
      <c r="F31" s="152"/>
      <c r="G31" s="153"/>
      <c r="H31" s="151"/>
      <c r="I31" s="152"/>
      <c r="J31" s="153"/>
      <c r="K31" s="152"/>
      <c r="L31" s="154"/>
      <c r="M31" s="226">
        <f t="shared" si="1"/>
        <v>2</v>
      </c>
      <c r="N31" s="133"/>
      <c r="O31" s="133"/>
    </row>
    <row r="32" spans="1:15" s="134" customFormat="1" ht="25.5" customHeight="1">
      <c r="A32" s="142"/>
      <c r="B32" s="143">
        <f t="shared" si="0"/>
        <v>21</v>
      </c>
      <c r="C32" s="309"/>
      <c r="D32" s="309"/>
      <c r="E32" s="151"/>
      <c r="F32" s="152"/>
      <c r="G32" s="153"/>
      <c r="H32" s="151"/>
      <c r="I32" s="152"/>
      <c r="J32" s="153"/>
      <c r="K32" s="152"/>
      <c r="L32" s="154"/>
      <c r="M32" s="226">
        <f t="shared" si="1"/>
        <v>2</v>
      </c>
      <c r="N32" s="133"/>
      <c r="O32" s="133"/>
    </row>
    <row r="33" spans="1:15" s="134" customFormat="1" ht="25.5" customHeight="1">
      <c r="A33" s="142"/>
      <c r="B33" s="143">
        <f t="shared" si="0"/>
        <v>22</v>
      </c>
      <c r="C33" s="309"/>
      <c r="D33" s="309"/>
      <c r="E33" s="151"/>
      <c r="F33" s="152"/>
      <c r="G33" s="153"/>
      <c r="H33" s="151"/>
      <c r="I33" s="152"/>
      <c r="J33" s="153"/>
      <c r="K33" s="152"/>
      <c r="L33" s="154"/>
      <c r="M33" s="226">
        <f t="shared" si="1"/>
        <v>2</v>
      </c>
      <c r="N33" s="133"/>
      <c r="O33" s="133"/>
    </row>
    <row r="34" spans="1:15" s="134" customFormat="1" ht="25.5" customHeight="1">
      <c r="A34" s="142"/>
      <c r="B34" s="143">
        <f t="shared" si="0"/>
        <v>23</v>
      </c>
      <c r="C34" s="309"/>
      <c r="D34" s="309"/>
      <c r="E34" s="151"/>
      <c r="F34" s="152"/>
      <c r="G34" s="153"/>
      <c r="H34" s="151"/>
      <c r="I34" s="152"/>
      <c r="J34" s="153"/>
      <c r="K34" s="152"/>
      <c r="L34" s="154"/>
      <c r="M34" s="226">
        <f t="shared" si="1"/>
        <v>2</v>
      </c>
      <c r="N34" s="133"/>
      <c r="O34" s="133"/>
    </row>
    <row r="35" spans="1:15" s="134" customFormat="1" ht="25.5" customHeight="1">
      <c r="A35" s="142"/>
      <c r="B35" s="143">
        <f t="shared" si="0"/>
        <v>24</v>
      </c>
      <c r="C35" s="309"/>
      <c r="D35" s="309"/>
      <c r="E35" s="151"/>
      <c r="F35" s="152"/>
      <c r="G35" s="153"/>
      <c r="H35" s="151"/>
      <c r="I35" s="152"/>
      <c r="J35" s="153"/>
      <c r="K35" s="152"/>
      <c r="L35" s="154"/>
      <c r="M35" s="226">
        <f t="shared" si="1"/>
        <v>2</v>
      </c>
      <c r="N35" s="133"/>
      <c r="O35" s="133"/>
    </row>
    <row r="36" spans="1:15" s="134" customFormat="1" ht="25.5" customHeight="1">
      <c r="A36" s="142"/>
      <c r="B36" s="143">
        <f t="shared" si="0"/>
        <v>25</v>
      </c>
      <c r="C36" s="309"/>
      <c r="D36" s="309"/>
      <c r="E36" s="151"/>
      <c r="F36" s="152"/>
      <c r="G36" s="153"/>
      <c r="H36" s="151"/>
      <c r="I36" s="152"/>
      <c r="J36" s="153"/>
      <c r="K36" s="152"/>
      <c r="L36" s="154"/>
      <c r="M36" s="226">
        <f t="shared" si="1"/>
        <v>2</v>
      </c>
      <c r="N36" s="133"/>
      <c r="O36" s="133"/>
    </row>
    <row r="37" spans="1:15" s="134" customFormat="1" ht="25.5" customHeight="1">
      <c r="A37" s="142"/>
      <c r="B37" s="143">
        <f t="shared" si="0"/>
        <v>26</v>
      </c>
      <c r="C37" s="309"/>
      <c r="D37" s="309"/>
      <c r="E37" s="151"/>
      <c r="F37" s="152"/>
      <c r="G37" s="153"/>
      <c r="H37" s="151"/>
      <c r="I37" s="152"/>
      <c r="J37" s="153"/>
      <c r="K37" s="152"/>
      <c r="L37" s="154"/>
      <c r="M37" s="226">
        <f t="shared" si="1"/>
        <v>2</v>
      </c>
      <c r="N37" s="133"/>
      <c r="O37" s="133"/>
    </row>
    <row r="38" spans="1:15" s="134" customFormat="1" ht="25.5" customHeight="1">
      <c r="A38" s="142"/>
      <c r="B38" s="143">
        <f t="shared" si="0"/>
        <v>27</v>
      </c>
      <c r="C38" s="309"/>
      <c r="D38" s="309"/>
      <c r="E38" s="151"/>
      <c r="F38" s="152"/>
      <c r="G38" s="153"/>
      <c r="H38" s="151"/>
      <c r="I38" s="152"/>
      <c r="J38" s="153"/>
      <c r="K38" s="152"/>
      <c r="L38" s="154"/>
      <c r="M38" s="226">
        <f t="shared" si="1"/>
        <v>2</v>
      </c>
      <c r="N38" s="133"/>
      <c r="O38" s="133"/>
    </row>
    <row r="39" spans="1:15" s="134" customFormat="1" ht="25.5" customHeight="1">
      <c r="A39" s="142"/>
      <c r="B39" s="143">
        <f t="shared" si="0"/>
        <v>28</v>
      </c>
      <c r="C39" s="309"/>
      <c r="D39" s="309"/>
      <c r="E39" s="151"/>
      <c r="F39" s="152"/>
      <c r="G39" s="153"/>
      <c r="H39" s="151"/>
      <c r="I39" s="152"/>
      <c r="J39" s="153"/>
      <c r="K39" s="152"/>
      <c r="L39" s="154"/>
      <c r="M39" s="226">
        <f t="shared" si="1"/>
        <v>2</v>
      </c>
      <c r="N39" s="133"/>
      <c r="O39" s="133"/>
    </row>
    <row r="40" spans="1:15" s="134" customFormat="1" ht="25.5" customHeight="1">
      <c r="A40" s="142"/>
      <c r="B40" s="143">
        <f t="shared" si="0"/>
        <v>29</v>
      </c>
      <c r="C40" s="309"/>
      <c r="D40" s="309"/>
      <c r="E40" s="151"/>
      <c r="F40" s="152"/>
      <c r="G40" s="153"/>
      <c r="H40" s="151"/>
      <c r="I40" s="152"/>
      <c r="J40" s="153"/>
      <c r="K40" s="152"/>
      <c r="L40" s="154"/>
      <c r="M40" s="226">
        <f t="shared" si="1"/>
        <v>2</v>
      </c>
      <c r="N40" s="133"/>
      <c r="O40" s="133"/>
    </row>
    <row r="41" spans="1:15" s="134" customFormat="1" ht="25.5" customHeight="1">
      <c r="A41" s="142"/>
      <c r="B41" s="143">
        <f t="shared" si="0"/>
        <v>30</v>
      </c>
      <c r="C41" s="309"/>
      <c r="D41" s="309"/>
      <c r="E41" s="151"/>
      <c r="F41" s="152"/>
      <c r="G41" s="153"/>
      <c r="H41" s="151"/>
      <c r="I41" s="152"/>
      <c r="J41" s="153"/>
      <c r="K41" s="152"/>
      <c r="L41" s="154"/>
      <c r="M41" s="226">
        <f t="shared" si="1"/>
        <v>2</v>
      </c>
      <c r="N41" s="133"/>
      <c r="O41" s="133"/>
    </row>
    <row r="42" spans="1:15" s="134" customFormat="1" ht="25.5" customHeight="1">
      <c r="A42" s="142"/>
      <c r="B42" s="143">
        <f t="shared" si="0"/>
        <v>31</v>
      </c>
      <c r="C42" s="309"/>
      <c r="D42" s="309"/>
      <c r="E42" s="151"/>
      <c r="F42" s="152"/>
      <c r="G42" s="153"/>
      <c r="H42" s="151"/>
      <c r="I42" s="152"/>
      <c r="J42" s="153"/>
      <c r="K42" s="152"/>
      <c r="L42" s="154"/>
      <c r="M42" s="226">
        <f t="shared" si="1"/>
        <v>2</v>
      </c>
      <c r="N42" s="133"/>
      <c r="O42" s="133"/>
    </row>
    <row r="43" spans="1:15" s="134" customFormat="1" ht="25.5" customHeight="1">
      <c r="A43" s="142"/>
      <c r="B43" s="143">
        <f t="shared" si="0"/>
        <v>32</v>
      </c>
      <c r="C43" s="309"/>
      <c r="D43" s="309"/>
      <c r="E43" s="151"/>
      <c r="F43" s="152"/>
      <c r="G43" s="153"/>
      <c r="H43" s="151"/>
      <c r="I43" s="152"/>
      <c r="J43" s="153"/>
      <c r="K43" s="152"/>
      <c r="L43" s="154"/>
      <c r="M43" s="226">
        <f t="shared" si="1"/>
        <v>2</v>
      </c>
      <c r="N43" s="133"/>
      <c r="O43" s="133"/>
    </row>
    <row r="44" spans="1:15" s="134" customFormat="1" ht="25.5" customHeight="1">
      <c r="A44" s="142"/>
      <c r="B44" s="143">
        <f aca="true" t="shared" si="2" ref="B44:B63">ROW()-11</f>
        <v>33</v>
      </c>
      <c r="C44" s="309"/>
      <c r="D44" s="309"/>
      <c r="E44" s="151"/>
      <c r="F44" s="152"/>
      <c r="G44" s="153"/>
      <c r="H44" s="151"/>
      <c r="I44" s="152"/>
      <c r="J44" s="153"/>
      <c r="K44" s="152"/>
      <c r="L44" s="154"/>
      <c r="M44" s="226">
        <f aca="true" t="shared" si="3" ref="M44:M63">IF(ISBLANK(E44),2,IF(ISBLANK(J44),0,1))</f>
        <v>2</v>
      </c>
      <c r="N44" s="133"/>
      <c r="O44" s="133"/>
    </row>
    <row r="45" spans="1:15" s="134" customFormat="1" ht="25.5" customHeight="1">
      <c r="A45" s="142"/>
      <c r="B45" s="143">
        <f t="shared" si="2"/>
        <v>34</v>
      </c>
      <c r="C45" s="309"/>
      <c r="D45" s="309"/>
      <c r="E45" s="151"/>
      <c r="F45" s="152"/>
      <c r="G45" s="153"/>
      <c r="H45" s="151"/>
      <c r="I45" s="152"/>
      <c r="J45" s="153"/>
      <c r="K45" s="152"/>
      <c r="L45" s="154"/>
      <c r="M45" s="226">
        <f t="shared" si="3"/>
        <v>2</v>
      </c>
      <c r="N45" s="133"/>
      <c r="O45" s="133"/>
    </row>
    <row r="46" spans="1:15" s="134" customFormat="1" ht="25.5" customHeight="1">
      <c r="A46" s="142"/>
      <c r="B46" s="143">
        <f t="shared" si="2"/>
        <v>35</v>
      </c>
      <c r="C46" s="309"/>
      <c r="D46" s="309"/>
      <c r="E46" s="151"/>
      <c r="F46" s="152"/>
      <c r="G46" s="153"/>
      <c r="H46" s="151"/>
      <c r="I46" s="152"/>
      <c r="J46" s="153"/>
      <c r="K46" s="152"/>
      <c r="L46" s="154"/>
      <c r="M46" s="226">
        <f t="shared" si="3"/>
        <v>2</v>
      </c>
      <c r="N46" s="133"/>
      <c r="O46" s="133"/>
    </row>
    <row r="47" spans="1:15" s="134" customFormat="1" ht="25.5" customHeight="1">
      <c r="A47" s="142"/>
      <c r="B47" s="143">
        <f t="shared" si="2"/>
        <v>36</v>
      </c>
      <c r="C47" s="309"/>
      <c r="D47" s="309"/>
      <c r="E47" s="151"/>
      <c r="F47" s="152"/>
      <c r="G47" s="153"/>
      <c r="H47" s="151"/>
      <c r="I47" s="152"/>
      <c r="J47" s="153"/>
      <c r="K47" s="152"/>
      <c r="L47" s="154"/>
      <c r="M47" s="226">
        <f t="shared" si="3"/>
        <v>2</v>
      </c>
      <c r="N47" s="133"/>
      <c r="O47" s="133"/>
    </row>
    <row r="48" spans="1:15" s="134" customFormat="1" ht="25.5" customHeight="1">
      <c r="A48" s="142"/>
      <c r="B48" s="143">
        <f t="shared" si="2"/>
        <v>37</v>
      </c>
      <c r="C48" s="309"/>
      <c r="D48" s="309"/>
      <c r="E48" s="151"/>
      <c r="F48" s="152"/>
      <c r="G48" s="153"/>
      <c r="H48" s="151"/>
      <c r="I48" s="152"/>
      <c r="J48" s="153"/>
      <c r="K48" s="152"/>
      <c r="L48" s="154"/>
      <c r="M48" s="226">
        <f t="shared" si="3"/>
        <v>2</v>
      </c>
      <c r="N48" s="133"/>
      <c r="O48" s="133"/>
    </row>
    <row r="49" spans="1:15" s="134" customFormat="1" ht="25.5" customHeight="1">
      <c r="A49" s="142"/>
      <c r="B49" s="143">
        <f t="shared" si="2"/>
        <v>38</v>
      </c>
      <c r="C49" s="309"/>
      <c r="D49" s="309"/>
      <c r="E49" s="151"/>
      <c r="F49" s="152"/>
      <c r="G49" s="153"/>
      <c r="H49" s="151"/>
      <c r="I49" s="152"/>
      <c r="J49" s="153"/>
      <c r="K49" s="152"/>
      <c r="L49" s="154"/>
      <c r="M49" s="226">
        <f t="shared" si="3"/>
        <v>2</v>
      </c>
      <c r="N49" s="133"/>
      <c r="O49" s="133"/>
    </row>
    <row r="50" spans="1:15" s="134" customFormat="1" ht="25.5" customHeight="1">
      <c r="A50" s="142"/>
      <c r="B50" s="143">
        <f t="shared" si="2"/>
        <v>39</v>
      </c>
      <c r="C50" s="309"/>
      <c r="D50" s="309"/>
      <c r="E50" s="151"/>
      <c r="F50" s="152"/>
      <c r="G50" s="153"/>
      <c r="H50" s="151"/>
      <c r="I50" s="152"/>
      <c r="J50" s="153"/>
      <c r="K50" s="152"/>
      <c r="L50" s="154"/>
      <c r="M50" s="226">
        <f t="shared" si="3"/>
        <v>2</v>
      </c>
      <c r="N50" s="133"/>
      <c r="O50" s="133"/>
    </row>
    <row r="51" spans="1:15" s="134" customFormat="1" ht="25.5" customHeight="1">
      <c r="A51" s="142"/>
      <c r="B51" s="143">
        <f t="shared" si="2"/>
        <v>40</v>
      </c>
      <c r="C51" s="309"/>
      <c r="D51" s="309"/>
      <c r="E51" s="151"/>
      <c r="F51" s="152"/>
      <c r="G51" s="153"/>
      <c r="H51" s="151"/>
      <c r="I51" s="152"/>
      <c r="J51" s="153"/>
      <c r="K51" s="152"/>
      <c r="L51" s="154"/>
      <c r="M51" s="226">
        <f t="shared" si="3"/>
        <v>2</v>
      </c>
      <c r="N51" s="133"/>
      <c r="O51" s="133"/>
    </row>
    <row r="52" spans="1:15" s="134" customFormat="1" ht="25.5" customHeight="1">
      <c r="A52" s="142"/>
      <c r="B52" s="143">
        <f t="shared" si="2"/>
        <v>41</v>
      </c>
      <c r="C52" s="309"/>
      <c r="D52" s="309"/>
      <c r="E52" s="151"/>
      <c r="F52" s="152"/>
      <c r="G52" s="153"/>
      <c r="H52" s="151"/>
      <c r="I52" s="152"/>
      <c r="J52" s="153"/>
      <c r="K52" s="152"/>
      <c r="L52" s="154"/>
      <c r="M52" s="226">
        <f t="shared" si="3"/>
        <v>2</v>
      </c>
      <c r="N52" s="133"/>
      <c r="O52" s="133"/>
    </row>
    <row r="53" spans="1:15" s="134" customFormat="1" ht="25.5" customHeight="1">
      <c r="A53" s="142"/>
      <c r="B53" s="143">
        <f t="shared" si="2"/>
        <v>42</v>
      </c>
      <c r="C53" s="309"/>
      <c r="D53" s="309"/>
      <c r="E53" s="151"/>
      <c r="F53" s="152"/>
      <c r="G53" s="153"/>
      <c r="H53" s="151"/>
      <c r="I53" s="152"/>
      <c r="J53" s="153"/>
      <c r="K53" s="152"/>
      <c r="L53" s="154"/>
      <c r="M53" s="226">
        <f t="shared" si="3"/>
        <v>2</v>
      </c>
      <c r="N53" s="133"/>
      <c r="O53" s="133"/>
    </row>
    <row r="54" spans="1:15" s="134" customFormat="1" ht="25.5" customHeight="1">
      <c r="A54" s="142"/>
      <c r="B54" s="143">
        <f t="shared" si="2"/>
        <v>43</v>
      </c>
      <c r="C54" s="309"/>
      <c r="D54" s="309"/>
      <c r="E54" s="151"/>
      <c r="F54" s="152"/>
      <c r="G54" s="153"/>
      <c r="H54" s="151"/>
      <c r="I54" s="152"/>
      <c r="J54" s="153"/>
      <c r="K54" s="152"/>
      <c r="L54" s="154"/>
      <c r="M54" s="226">
        <f t="shared" si="3"/>
        <v>2</v>
      </c>
      <c r="N54" s="133"/>
      <c r="O54" s="133"/>
    </row>
    <row r="55" spans="1:15" s="134" customFormat="1" ht="25.5" customHeight="1">
      <c r="A55" s="142"/>
      <c r="B55" s="143">
        <f t="shared" si="2"/>
        <v>44</v>
      </c>
      <c r="C55" s="309"/>
      <c r="D55" s="309"/>
      <c r="E55" s="151"/>
      <c r="F55" s="152"/>
      <c r="G55" s="153"/>
      <c r="H55" s="151"/>
      <c r="I55" s="152"/>
      <c r="J55" s="153"/>
      <c r="K55" s="152"/>
      <c r="L55" s="154"/>
      <c r="M55" s="226">
        <f t="shared" si="3"/>
        <v>2</v>
      </c>
      <c r="N55" s="133"/>
      <c r="O55" s="133"/>
    </row>
    <row r="56" spans="1:15" s="134" customFormat="1" ht="25.5" customHeight="1">
      <c r="A56" s="142"/>
      <c r="B56" s="143">
        <f t="shared" si="2"/>
        <v>45</v>
      </c>
      <c r="C56" s="309"/>
      <c r="D56" s="309"/>
      <c r="E56" s="151"/>
      <c r="F56" s="152"/>
      <c r="G56" s="153"/>
      <c r="H56" s="151"/>
      <c r="I56" s="152"/>
      <c r="J56" s="153"/>
      <c r="K56" s="152"/>
      <c r="L56" s="154"/>
      <c r="M56" s="226">
        <f t="shared" si="3"/>
        <v>2</v>
      </c>
      <c r="N56" s="133"/>
      <c r="O56" s="133"/>
    </row>
    <row r="57" spans="1:15" s="134" customFormat="1" ht="25.5" customHeight="1">
      <c r="A57" s="142"/>
      <c r="B57" s="143">
        <f t="shared" si="2"/>
        <v>46</v>
      </c>
      <c r="C57" s="309"/>
      <c r="D57" s="309"/>
      <c r="E57" s="151"/>
      <c r="F57" s="152"/>
      <c r="G57" s="153"/>
      <c r="H57" s="151"/>
      <c r="I57" s="152"/>
      <c r="J57" s="153"/>
      <c r="K57" s="152"/>
      <c r="L57" s="154"/>
      <c r="M57" s="226">
        <f t="shared" si="3"/>
        <v>2</v>
      </c>
      <c r="N57" s="133"/>
      <c r="O57" s="133"/>
    </row>
    <row r="58" spans="1:15" s="134" customFormat="1" ht="25.5" customHeight="1">
      <c r="A58" s="142"/>
      <c r="B58" s="143">
        <f t="shared" si="2"/>
        <v>47</v>
      </c>
      <c r="C58" s="309"/>
      <c r="D58" s="309"/>
      <c r="E58" s="151"/>
      <c r="F58" s="152"/>
      <c r="G58" s="153"/>
      <c r="H58" s="151"/>
      <c r="I58" s="152"/>
      <c r="J58" s="153"/>
      <c r="K58" s="152"/>
      <c r="L58" s="154"/>
      <c r="M58" s="226">
        <f t="shared" si="3"/>
        <v>2</v>
      </c>
      <c r="N58" s="133"/>
      <c r="O58" s="133"/>
    </row>
    <row r="59" spans="1:15" s="134" customFormat="1" ht="25.5" customHeight="1">
      <c r="A59" s="142"/>
      <c r="B59" s="143">
        <f t="shared" si="2"/>
        <v>48</v>
      </c>
      <c r="C59" s="309"/>
      <c r="D59" s="309"/>
      <c r="E59" s="151"/>
      <c r="F59" s="152"/>
      <c r="G59" s="153"/>
      <c r="H59" s="151"/>
      <c r="I59" s="152"/>
      <c r="J59" s="153"/>
      <c r="K59" s="152"/>
      <c r="L59" s="154"/>
      <c r="M59" s="226">
        <f t="shared" si="3"/>
        <v>2</v>
      </c>
      <c r="N59" s="133"/>
      <c r="O59" s="133"/>
    </row>
    <row r="60" spans="1:15" s="134" customFormat="1" ht="25.5" customHeight="1">
      <c r="A60" s="142"/>
      <c r="B60" s="143">
        <f t="shared" si="2"/>
        <v>49</v>
      </c>
      <c r="C60" s="309"/>
      <c r="D60" s="309"/>
      <c r="E60" s="151"/>
      <c r="F60" s="152"/>
      <c r="G60" s="153"/>
      <c r="H60" s="151"/>
      <c r="I60" s="152"/>
      <c r="J60" s="153"/>
      <c r="K60" s="152"/>
      <c r="L60" s="154"/>
      <c r="M60" s="226">
        <f t="shared" si="3"/>
        <v>2</v>
      </c>
      <c r="N60" s="133"/>
      <c r="O60" s="133"/>
    </row>
    <row r="61" spans="1:15" s="134" customFormat="1" ht="25.5" customHeight="1">
      <c r="A61" s="142"/>
      <c r="B61" s="143">
        <f t="shared" si="2"/>
        <v>50</v>
      </c>
      <c r="C61" s="309"/>
      <c r="D61" s="309"/>
      <c r="E61" s="151"/>
      <c r="F61" s="152"/>
      <c r="G61" s="153"/>
      <c r="H61" s="151"/>
      <c r="I61" s="152"/>
      <c r="J61" s="153"/>
      <c r="K61" s="152"/>
      <c r="L61" s="154"/>
      <c r="M61" s="226">
        <f t="shared" si="3"/>
        <v>2</v>
      </c>
      <c r="N61" s="133"/>
      <c r="O61" s="133"/>
    </row>
    <row r="62" spans="1:15" s="134" customFormat="1" ht="25.5" customHeight="1">
      <c r="A62" s="142"/>
      <c r="B62" s="143">
        <f t="shared" si="2"/>
        <v>51</v>
      </c>
      <c r="C62" s="309"/>
      <c r="D62" s="309"/>
      <c r="E62" s="151"/>
      <c r="F62" s="152"/>
      <c r="G62" s="153"/>
      <c r="H62" s="151"/>
      <c r="I62" s="152"/>
      <c r="J62" s="153"/>
      <c r="K62" s="152"/>
      <c r="L62" s="154"/>
      <c r="M62" s="226">
        <f t="shared" si="3"/>
        <v>2</v>
      </c>
      <c r="N62" s="133"/>
      <c r="O62" s="133"/>
    </row>
    <row r="63" spans="1:15" s="134" customFormat="1" ht="25.5" customHeight="1">
      <c r="A63" s="142"/>
      <c r="B63" s="143">
        <f t="shared" si="2"/>
        <v>52</v>
      </c>
      <c r="C63" s="309"/>
      <c r="D63" s="309"/>
      <c r="E63" s="151"/>
      <c r="F63" s="152"/>
      <c r="G63" s="153"/>
      <c r="H63" s="151"/>
      <c r="I63" s="152"/>
      <c r="J63" s="153"/>
      <c r="K63" s="152"/>
      <c r="L63" s="154"/>
      <c r="M63" s="226">
        <f t="shared" si="3"/>
        <v>2</v>
      </c>
      <c r="N63" s="133"/>
      <c r="O63" s="133"/>
    </row>
    <row r="64" spans="1:15" s="134" customFormat="1" ht="15.75">
      <c r="A64" s="207"/>
      <c r="B64" s="208"/>
      <c r="C64" s="208"/>
      <c r="D64" s="209"/>
      <c r="E64" s="210"/>
      <c r="F64" s="211"/>
      <c r="G64" s="212"/>
      <c r="H64" s="211"/>
      <c r="I64" s="211"/>
      <c r="J64" s="212"/>
      <c r="K64" s="211"/>
      <c r="L64" s="213"/>
      <c r="M64" s="227"/>
      <c r="N64" s="133"/>
      <c r="O64" s="133"/>
    </row>
    <row r="65" spans="1:20" s="166" customFormat="1" ht="12.75" customHeight="1" hidden="1">
      <c r="A65" s="214"/>
      <c r="B65" s="215"/>
      <c r="C65" s="215"/>
      <c r="D65" s="216"/>
      <c r="E65" s="217">
        <f>52-COUNTIF(E12:E63,"")</f>
        <v>0</v>
      </c>
      <c r="F65" s="216"/>
      <c r="G65" s="218"/>
      <c r="H65" s="217"/>
      <c r="I65" s="216"/>
      <c r="J65" s="218"/>
      <c r="K65" s="217"/>
      <c r="L65" s="216"/>
      <c r="M65" s="144"/>
      <c r="N65" s="167"/>
      <c r="O65" s="167"/>
      <c r="P65" s="123"/>
      <c r="Q65" s="123"/>
      <c r="R65" s="123"/>
      <c r="S65" s="123"/>
      <c r="T65" s="123"/>
    </row>
    <row r="66" spans="1:12" ht="12.75" customHeight="1">
      <c r="A66" s="219"/>
      <c r="B66" s="220"/>
      <c r="C66" s="220"/>
      <c r="D66" s="221"/>
      <c r="E66" s="221"/>
      <c r="F66" s="221"/>
      <c r="G66" s="222"/>
      <c r="H66" s="223"/>
      <c r="I66" s="221"/>
      <c r="J66" s="222"/>
      <c r="K66" s="223"/>
      <c r="L66" s="221"/>
    </row>
  </sheetData>
  <sheetProtection sheet="1" objects="1" scenarios="1" selectLockedCells="1"/>
  <mergeCells count="9">
    <mergeCell ref="A9:L9"/>
    <mergeCell ref="A8:D8"/>
    <mergeCell ref="A1:D1"/>
    <mergeCell ref="A2:D2"/>
    <mergeCell ref="A3:D3"/>
    <mergeCell ref="A4:D4"/>
    <mergeCell ref="A5:D5"/>
    <mergeCell ref="A6:D6"/>
    <mergeCell ref="A7:D7"/>
  </mergeCells>
  <conditionalFormatting sqref="A12:L64">
    <cfRule type="expression" priority="1" dxfId="40" stopIfTrue="1">
      <formula>OR($L12="х",$L12="x")</formula>
    </cfRule>
  </conditionalFormatting>
  <printOptions/>
  <pageMargins left="0.16180555555555556" right="0.14" top="0.16041666666666668" bottom="0.16041666666666668" header="0" footer="0"/>
  <pageSetup fitToHeight="2" fitToWidth="1" horizontalDpi="600" verticalDpi="600" orientation="portrait" paperSize="9" scale="5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N68"/>
  <sheetViews>
    <sheetView showGridLines="0" showRowColHeaders="0" showZeros="0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372" bestFit="1" customWidth="1"/>
    <col min="2" max="2" width="12.75390625" style="115" customWidth="1"/>
    <col min="3" max="4" width="25.00390625" style="115" customWidth="1"/>
    <col min="5" max="5" width="18.125" style="115" customWidth="1"/>
    <col min="6" max="6" width="20.875" style="115" customWidth="1"/>
    <col min="7" max="8" width="11.75390625" style="115" customWidth="1"/>
    <col min="9" max="9" width="12.625" style="115" customWidth="1"/>
    <col min="10" max="10" width="11.375" style="115" customWidth="1"/>
    <col min="11" max="11" width="16.625" style="115" customWidth="1"/>
    <col min="12" max="12" width="15.00390625" style="115" customWidth="1"/>
    <col min="13" max="13" width="13.25390625" style="115" customWidth="1"/>
    <col min="14" max="14" width="13.00390625" style="115" customWidth="1"/>
    <col min="15" max="16384" width="9.125" style="115" customWidth="1"/>
  </cols>
  <sheetData>
    <row r="1" spans="1:13" ht="23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M1" s="369"/>
    </row>
    <row r="2" spans="1:14" ht="27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370"/>
    </row>
    <row r="3" spans="1:14" ht="12.75">
      <c r="A3" s="569" t="s">
        <v>158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</row>
    <row r="4" spans="1:14" ht="12.75" customHeight="1">
      <c r="A4" s="569" t="s">
        <v>159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</row>
    <row r="5" spans="1:14" ht="21" customHeight="1">
      <c r="A5" s="575" t="str">
        <f>UPPER(Установка!C3)</f>
        <v>ТВД-ЛЕТНЕЕ ПЕРВЕНСТВО Г.КАЗАНИ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</row>
    <row r="6" spans="1:14" ht="12.75" customHeight="1">
      <c r="A6" s="570" t="s">
        <v>3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</row>
    <row r="7" spans="2:14" ht="20.25">
      <c r="B7" s="371"/>
      <c r="C7" s="373" t="s">
        <v>31</v>
      </c>
      <c r="D7" s="571" t="str">
        <f>UPPER(Установка!C4)</f>
        <v>14 ЛЕТ И МОЛОЖЕ</v>
      </c>
      <c r="E7" s="571"/>
      <c r="F7" s="371"/>
      <c r="G7" s="371"/>
      <c r="H7" s="371"/>
      <c r="I7" s="371"/>
      <c r="J7" s="371"/>
      <c r="M7" s="578" t="str">
        <f>IF(Установка!$C$5="","Ю/Д/М/Ж",UPPER(Установка!$C$5))</f>
        <v>ДЕВУШКИ</v>
      </c>
      <c r="N7" s="578"/>
    </row>
    <row r="8" spans="12:13" ht="16.5" customHeight="1">
      <c r="L8" s="374" t="s">
        <v>69</v>
      </c>
      <c r="M8" s="45" t="str">
        <f>Установка!C37</f>
        <v>V</v>
      </c>
    </row>
    <row r="9" spans="1:13" s="377" customFormat="1" ht="15.75" customHeight="1">
      <c r="A9" s="572" t="s">
        <v>32</v>
      </c>
      <c r="B9" s="572"/>
      <c r="C9" s="368" t="str">
        <f>UPPER(Установка!C6)</f>
        <v>Г.КАЗАНЬ</v>
      </c>
      <c r="D9" s="375" t="s">
        <v>33</v>
      </c>
      <c r="E9" s="376" t="str">
        <f>Установка!C7</f>
        <v>06.06-08.06.2014</v>
      </c>
      <c r="F9" s="112"/>
      <c r="G9" s="112"/>
      <c r="H9" s="112"/>
      <c r="I9" s="112"/>
      <c r="J9" s="112"/>
      <c r="L9" s="378" t="s">
        <v>137</v>
      </c>
      <c r="M9" s="379" t="str">
        <f>Установка!C46</f>
        <v>Г</v>
      </c>
    </row>
    <row r="10" ht="10.5" customHeight="1"/>
    <row r="11" spans="1:14" s="116" customFormat="1" ht="36" customHeight="1">
      <c r="A11" s="114" t="s">
        <v>65</v>
      </c>
      <c r="B11" s="573" t="s">
        <v>138</v>
      </c>
      <c r="C11" s="576"/>
      <c r="D11" s="574"/>
      <c r="E11" s="380" t="s">
        <v>75</v>
      </c>
      <c r="F11" s="114" t="s">
        <v>27</v>
      </c>
      <c r="G11" s="114" t="s">
        <v>35</v>
      </c>
      <c r="H11" s="114" t="s">
        <v>139</v>
      </c>
      <c r="I11" s="114" t="s">
        <v>18</v>
      </c>
      <c r="J11" s="380" t="s">
        <v>140</v>
      </c>
      <c r="K11" s="573" t="s">
        <v>141</v>
      </c>
      <c r="L11" s="574"/>
      <c r="M11" s="114" t="s">
        <v>142</v>
      </c>
      <c r="N11" s="114" t="s">
        <v>143</v>
      </c>
    </row>
    <row r="12" spans="1:14" ht="21" customHeight="1">
      <c r="A12" s="381">
        <v>1</v>
      </c>
      <c r="B12" s="566">
        <f>'Лист ожидания'!E12</f>
        <v>0</v>
      </c>
      <c r="C12" s="567"/>
      <c r="D12" s="568"/>
      <c r="E12" s="382">
        <f>'Лист ожидания'!G12</f>
        <v>0</v>
      </c>
      <c r="F12" s="383">
        <f>'Лист ожидания'!H12</f>
        <v>0</v>
      </c>
      <c r="G12" s="381">
        <f>'Лист ожидания'!F12</f>
        <v>0</v>
      </c>
      <c r="H12" s="383">
        <f>IF(B12=0,"",'Лист ожидания'!I12)</f>
      </c>
      <c r="I12" s="384">
        <f>'Лист ожидания'!D12</f>
        <v>0</v>
      </c>
      <c r="J12" s="385">
        <f>IF(B12=0,"",CONCATENATE("ОТ ",'Лист ожидания'!K12))</f>
      </c>
      <c r="K12" s="564"/>
      <c r="L12" s="565"/>
      <c r="M12" s="386">
        <f>IF(B12=0,"",Установка!$C$14)</f>
      </c>
      <c r="N12" s="387"/>
    </row>
    <row r="13" spans="1:14" ht="21" customHeight="1">
      <c r="A13" s="381">
        <v>2</v>
      </c>
      <c r="B13" s="566">
        <f>'Лист ожидания'!E13</f>
        <v>0</v>
      </c>
      <c r="C13" s="567"/>
      <c r="D13" s="568"/>
      <c r="E13" s="382">
        <f>'Лист ожидания'!G13</f>
        <v>0</v>
      </c>
      <c r="F13" s="383">
        <f>'Лист ожидания'!H13</f>
        <v>0</v>
      </c>
      <c r="G13" s="381">
        <f>'Лист ожидания'!F13</f>
        <v>0</v>
      </c>
      <c r="H13" s="383">
        <f>IF(B13=0,"",'Лист ожидания'!I13)</f>
      </c>
      <c r="I13" s="384">
        <f>'Лист ожидания'!D13</f>
        <v>0</v>
      </c>
      <c r="J13" s="385">
        <f>IF(B13=0,"",CONCATENATE("ОТ ",'Лист ожидания'!K13))</f>
      </c>
      <c r="K13" s="564"/>
      <c r="L13" s="565"/>
      <c r="M13" s="386">
        <f>IF(B13=0,"",Установка!$C$14)</f>
      </c>
      <c r="N13" s="387"/>
    </row>
    <row r="14" spans="1:14" ht="21" customHeight="1">
      <c r="A14" s="381">
        <v>3</v>
      </c>
      <c r="B14" s="566">
        <f>'Лист ожидания'!E14</f>
        <v>0</v>
      </c>
      <c r="C14" s="567"/>
      <c r="D14" s="568"/>
      <c r="E14" s="382">
        <f>'Лист ожидания'!G14</f>
        <v>0</v>
      </c>
      <c r="F14" s="383">
        <f>'Лист ожидания'!H14</f>
        <v>0</v>
      </c>
      <c r="G14" s="381">
        <f>'Лист ожидания'!F14</f>
        <v>0</v>
      </c>
      <c r="H14" s="383">
        <f>IF(B14=0,"",'Лист ожидания'!I14)</f>
      </c>
      <c r="I14" s="384">
        <f>'Лист ожидания'!D14</f>
        <v>0</v>
      </c>
      <c r="J14" s="385">
        <f>IF(B14=0,"",CONCATENATE("ОТ ",'Лист ожидания'!K14))</f>
      </c>
      <c r="K14" s="564"/>
      <c r="L14" s="565"/>
      <c r="M14" s="386">
        <f>IF(B14=0,"",Установка!$C$14)</f>
      </c>
      <c r="N14" s="387"/>
    </row>
    <row r="15" spans="1:14" ht="21" customHeight="1">
      <c r="A15" s="381">
        <v>4</v>
      </c>
      <c r="B15" s="566">
        <f>'Лист ожидания'!E15</f>
        <v>0</v>
      </c>
      <c r="C15" s="567"/>
      <c r="D15" s="568"/>
      <c r="E15" s="382">
        <f>'Лист ожидания'!G15</f>
        <v>0</v>
      </c>
      <c r="F15" s="383">
        <f>'Лист ожидания'!H15</f>
        <v>0</v>
      </c>
      <c r="G15" s="381">
        <f>'Лист ожидания'!F15</f>
        <v>0</v>
      </c>
      <c r="H15" s="383">
        <f>IF(B15=0,"",'Лист ожидания'!I15)</f>
      </c>
      <c r="I15" s="384">
        <f>'Лист ожидания'!D15</f>
        <v>0</v>
      </c>
      <c r="J15" s="385">
        <f>IF(B15=0,"",CONCATENATE("ОТ ",'Лист ожидания'!K15))</f>
      </c>
      <c r="K15" s="564"/>
      <c r="L15" s="565"/>
      <c r="M15" s="386">
        <f>IF(B15=0,"",Установка!$C$14)</f>
      </c>
      <c r="N15" s="387"/>
    </row>
    <row r="16" spans="1:14" ht="21" customHeight="1">
      <c r="A16" s="381">
        <v>5</v>
      </c>
      <c r="B16" s="566">
        <f>'Лист ожидания'!E16</f>
        <v>0</v>
      </c>
      <c r="C16" s="567"/>
      <c r="D16" s="568"/>
      <c r="E16" s="382">
        <f>'Лист ожидания'!G16</f>
        <v>0</v>
      </c>
      <c r="F16" s="383">
        <f>'Лист ожидания'!H16</f>
        <v>0</v>
      </c>
      <c r="G16" s="381">
        <f>'Лист ожидания'!F16</f>
        <v>0</v>
      </c>
      <c r="H16" s="383">
        <f>IF(B16=0,"",'Лист ожидания'!I16)</f>
      </c>
      <c r="I16" s="384">
        <f>'Лист ожидания'!D16</f>
        <v>0</v>
      </c>
      <c r="J16" s="385">
        <f>IF(B16=0,"",CONCATENATE("ОТ ",'Лист ожидания'!K16))</f>
      </c>
      <c r="K16" s="564"/>
      <c r="L16" s="565"/>
      <c r="M16" s="386">
        <f>IF(B16=0,"",Установка!$C$14)</f>
      </c>
      <c r="N16" s="387"/>
    </row>
    <row r="17" spans="1:14" ht="21" customHeight="1">
      <c r="A17" s="381">
        <v>6</v>
      </c>
      <c r="B17" s="566">
        <f>'Лист ожидания'!E17</f>
        <v>0</v>
      </c>
      <c r="C17" s="567"/>
      <c r="D17" s="568"/>
      <c r="E17" s="382">
        <f>'Лист ожидания'!G17</f>
        <v>0</v>
      </c>
      <c r="F17" s="383">
        <f>'Лист ожидания'!H17</f>
        <v>0</v>
      </c>
      <c r="G17" s="381">
        <f>'Лист ожидания'!F17</f>
        <v>0</v>
      </c>
      <c r="H17" s="383">
        <f>IF(B17=0,"",'Лист ожидания'!I17)</f>
      </c>
      <c r="I17" s="384">
        <f>'Лист ожидания'!D17</f>
        <v>0</v>
      </c>
      <c r="J17" s="385">
        <f>IF(B17=0,"",CONCATENATE("ОТ ",'Лист ожидания'!K17))</f>
      </c>
      <c r="K17" s="564"/>
      <c r="L17" s="565"/>
      <c r="M17" s="386">
        <f>IF(B17=0,"",Установка!$C$14)</f>
      </c>
      <c r="N17" s="387"/>
    </row>
    <row r="18" spans="1:14" ht="21" customHeight="1">
      <c r="A18" s="381">
        <v>7</v>
      </c>
      <c r="B18" s="566">
        <f>'Лист ожидания'!E18</f>
        <v>0</v>
      </c>
      <c r="C18" s="567"/>
      <c r="D18" s="568"/>
      <c r="E18" s="382">
        <f>'Лист ожидания'!G18</f>
        <v>0</v>
      </c>
      <c r="F18" s="383">
        <f>'Лист ожидания'!H18</f>
        <v>0</v>
      </c>
      <c r="G18" s="381">
        <f>'Лист ожидания'!F18</f>
        <v>0</v>
      </c>
      <c r="H18" s="383">
        <f>IF(B18=0,"",'Лист ожидания'!I18)</f>
      </c>
      <c r="I18" s="384">
        <f>'Лист ожидания'!D18</f>
        <v>0</v>
      </c>
      <c r="J18" s="385">
        <f>IF(B18=0,"",CONCATENATE("ОТ ",'Лист ожидания'!K18))</f>
      </c>
      <c r="K18" s="564"/>
      <c r="L18" s="565"/>
      <c r="M18" s="386">
        <f>IF(B18=0,"",Установка!$C$14)</f>
      </c>
      <c r="N18" s="387"/>
    </row>
    <row r="19" spans="1:14" ht="21" customHeight="1">
      <c r="A19" s="381">
        <v>8</v>
      </c>
      <c r="B19" s="566">
        <f>'Лист ожидания'!E19</f>
        <v>0</v>
      </c>
      <c r="C19" s="567"/>
      <c r="D19" s="568"/>
      <c r="E19" s="382">
        <f>'Лист ожидания'!G19</f>
        <v>0</v>
      </c>
      <c r="F19" s="383">
        <f>'Лист ожидания'!H19</f>
        <v>0</v>
      </c>
      <c r="G19" s="381">
        <f>'Лист ожидания'!F19</f>
        <v>0</v>
      </c>
      <c r="H19" s="383">
        <f>IF(B19=0,"",'Лист ожидания'!I19)</f>
      </c>
      <c r="I19" s="384">
        <f>'Лист ожидания'!D19</f>
        <v>0</v>
      </c>
      <c r="J19" s="385">
        <f>IF(B19=0,"",CONCATENATE("ОТ ",'Лист ожидания'!K19))</f>
      </c>
      <c r="K19" s="564"/>
      <c r="L19" s="565"/>
      <c r="M19" s="386">
        <f>IF(B19=0,"",Установка!$C$14)</f>
      </c>
      <c r="N19" s="387"/>
    </row>
    <row r="20" spans="1:14" ht="21" customHeight="1">
      <c r="A20" s="381">
        <v>9</v>
      </c>
      <c r="B20" s="566">
        <f>'Лист ожидания'!E20</f>
        <v>0</v>
      </c>
      <c r="C20" s="567"/>
      <c r="D20" s="568"/>
      <c r="E20" s="382">
        <f>'Лист ожидания'!G20</f>
        <v>0</v>
      </c>
      <c r="F20" s="383">
        <f>'Лист ожидания'!H20</f>
        <v>0</v>
      </c>
      <c r="G20" s="381">
        <f>'Лист ожидания'!F20</f>
        <v>0</v>
      </c>
      <c r="H20" s="383">
        <f>IF(B20=0,"",'Лист ожидания'!I20)</f>
      </c>
      <c r="I20" s="384">
        <f>'Лист ожидания'!D20</f>
        <v>0</v>
      </c>
      <c r="J20" s="385">
        <f>IF(B20=0,"",CONCATENATE("ОТ ",'Лист ожидания'!K20))</f>
      </c>
      <c r="K20" s="564"/>
      <c r="L20" s="565"/>
      <c r="M20" s="386">
        <f>IF(B20=0,"",Установка!$C$14)</f>
      </c>
      <c r="N20" s="387"/>
    </row>
    <row r="21" spans="1:14" ht="21" customHeight="1">
      <c r="A21" s="381">
        <v>10</v>
      </c>
      <c r="B21" s="566">
        <f>'Лист ожидания'!E21</f>
        <v>0</v>
      </c>
      <c r="C21" s="567"/>
      <c r="D21" s="568"/>
      <c r="E21" s="382">
        <f>'Лист ожидания'!G21</f>
        <v>0</v>
      </c>
      <c r="F21" s="383">
        <f>'Лист ожидания'!H21</f>
        <v>0</v>
      </c>
      <c r="G21" s="381">
        <f>'Лист ожидания'!F21</f>
        <v>0</v>
      </c>
      <c r="H21" s="383">
        <f>IF(B21=0,"",'Лист ожидания'!I21)</f>
      </c>
      <c r="I21" s="384">
        <f>'Лист ожидания'!D21</f>
        <v>0</v>
      </c>
      <c r="J21" s="385">
        <f>IF(B21=0,"",CONCATENATE("ОТ ",'Лист ожидания'!K21))</f>
      </c>
      <c r="K21" s="564"/>
      <c r="L21" s="565"/>
      <c r="M21" s="386">
        <f>IF(B21=0,"",Установка!$C$14)</f>
      </c>
      <c r="N21" s="387"/>
    </row>
    <row r="22" spans="1:14" ht="21" customHeight="1">
      <c r="A22" s="381">
        <v>11</v>
      </c>
      <c r="B22" s="566">
        <f>'Лист ожидания'!E22</f>
        <v>0</v>
      </c>
      <c r="C22" s="567"/>
      <c r="D22" s="568"/>
      <c r="E22" s="382">
        <f>'Лист ожидания'!G22</f>
        <v>0</v>
      </c>
      <c r="F22" s="383">
        <f>'Лист ожидания'!H22</f>
        <v>0</v>
      </c>
      <c r="G22" s="381">
        <f>'Лист ожидания'!F22</f>
        <v>0</v>
      </c>
      <c r="H22" s="383">
        <f>IF(B22=0,"",'Лист ожидания'!I22)</f>
      </c>
      <c r="I22" s="384">
        <f>'Лист ожидания'!D22</f>
        <v>0</v>
      </c>
      <c r="J22" s="385">
        <f>IF(B22=0,"",CONCATENATE("ОТ ",'Лист ожидания'!K22))</f>
      </c>
      <c r="K22" s="564"/>
      <c r="L22" s="565"/>
      <c r="M22" s="386">
        <f>IF(B22=0,"",Установка!$C$14)</f>
      </c>
      <c r="N22" s="387"/>
    </row>
    <row r="23" spans="1:14" ht="21" customHeight="1">
      <c r="A23" s="381">
        <v>12</v>
      </c>
      <c r="B23" s="566">
        <f>'Лист ожидания'!E23</f>
        <v>0</v>
      </c>
      <c r="C23" s="567"/>
      <c r="D23" s="568"/>
      <c r="E23" s="382">
        <f>'Лист ожидания'!G23</f>
        <v>0</v>
      </c>
      <c r="F23" s="383">
        <f>'Лист ожидания'!H23</f>
        <v>0</v>
      </c>
      <c r="G23" s="381">
        <f>'Лист ожидания'!F23</f>
        <v>0</v>
      </c>
      <c r="H23" s="383">
        <f>IF(B23=0,"",'Лист ожидания'!I23)</f>
      </c>
      <c r="I23" s="384">
        <f>'Лист ожидания'!D23</f>
        <v>0</v>
      </c>
      <c r="J23" s="385">
        <f>IF(B23=0,"",CONCATENATE("ОТ ",'Лист ожидания'!K23))</f>
      </c>
      <c r="K23" s="564"/>
      <c r="L23" s="565"/>
      <c r="M23" s="386">
        <f>IF(B23=0,"",Установка!$C$14)</f>
      </c>
      <c r="N23" s="387"/>
    </row>
    <row r="24" spans="1:14" ht="21" customHeight="1">
      <c r="A24" s="381">
        <v>13</v>
      </c>
      <c r="B24" s="566">
        <f>'Лист ожидания'!E24</f>
        <v>0</v>
      </c>
      <c r="C24" s="567"/>
      <c r="D24" s="568"/>
      <c r="E24" s="382">
        <f>'Лист ожидания'!G24</f>
        <v>0</v>
      </c>
      <c r="F24" s="383">
        <f>'Лист ожидания'!H24</f>
        <v>0</v>
      </c>
      <c r="G24" s="381">
        <f>'Лист ожидания'!F24</f>
        <v>0</v>
      </c>
      <c r="H24" s="383">
        <f>IF(B24=0,"",'Лист ожидания'!I24)</f>
      </c>
      <c r="I24" s="384">
        <f>'Лист ожидания'!D24</f>
        <v>0</v>
      </c>
      <c r="J24" s="385">
        <f>IF(B24=0,"",CONCATENATE("ОТ ",'Лист ожидания'!K24))</f>
      </c>
      <c r="K24" s="564"/>
      <c r="L24" s="565"/>
      <c r="M24" s="386">
        <f>IF(B24=0,"",Установка!$C$14)</f>
      </c>
      <c r="N24" s="387"/>
    </row>
    <row r="25" spans="1:14" ht="21" customHeight="1">
      <c r="A25" s="381">
        <v>14</v>
      </c>
      <c r="B25" s="566">
        <f>'Лист ожидания'!E25</f>
        <v>0</v>
      </c>
      <c r="C25" s="567"/>
      <c r="D25" s="568"/>
      <c r="E25" s="382">
        <f>'Лист ожидания'!G25</f>
        <v>0</v>
      </c>
      <c r="F25" s="383">
        <f>'Лист ожидания'!H25</f>
        <v>0</v>
      </c>
      <c r="G25" s="381">
        <f>'Лист ожидания'!F25</f>
        <v>0</v>
      </c>
      <c r="H25" s="383">
        <f>IF(B25=0,"",'Лист ожидания'!I25)</f>
      </c>
      <c r="I25" s="384">
        <f>'Лист ожидания'!D25</f>
        <v>0</v>
      </c>
      <c r="J25" s="385">
        <f>IF(B25=0,"",CONCATENATE("ОТ ",'Лист ожидания'!K25))</f>
      </c>
      <c r="K25" s="564"/>
      <c r="L25" s="565"/>
      <c r="M25" s="386">
        <f>IF(B25=0,"",Установка!$C$14)</f>
      </c>
      <c r="N25" s="387"/>
    </row>
    <row r="26" spans="1:14" ht="21" customHeight="1">
      <c r="A26" s="381">
        <v>15</v>
      </c>
      <c r="B26" s="566">
        <f>'Лист ожидания'!E26</f>
        <v>0</v>
      </c>
      <c r="C26" s="567"/>
      <c r="D26" s="568"/>
      <c r="E26" s="382">
        <f>'Лист ожидания'!G26</f>
        <v>0</v>
      </c>
      <c r="F26" s="383">
        <f>'Лист ожидания'!H26</f>
        <v>0</v>
      </c>
      <c r="G26" s="381">
        <f>'Лист ожидания'!F26</f>
        <v>0</v>
      </c>
      <c r="H26" s="383">
        <f>IF(B26=0,"",'Лист ожидания'!I26)</f>
      </c>
      <c r="I26" s="384">
        <f>'Лист ожидания'!D26</f>
        <v>0</v>
      </c>
      <c r="J26" s="385">
        <f>IF(B26=0,"",CONCATENATE("ОТ ",'Лист ожидания'!K26))</f>
      </c>
      <c r="K26" s="564"/>
      <c r="L26" s="565"/>
      <c r="M26" s="386">
        <f>IF(B26=0,"",Установка!$C$14)</f>
      </c>
      <c r="N26" s="387"/>
    </row>
    <row r="27" spans="1:14" ht="21" customHeight="1">
      <c r="A27" s="381">
        <v>16</v>
      </c>
      <c r="B27" s="566">
        <f>'Лист ожидания'!E27</f>
        <v>0</v>
      </c>
      <c r="C27" s="567"/>
      <c r="D27" s="568"/>
      <c r="E27" s="382">
        <f>'Лист ожидания'!G27</f>
        <v>0</v>
      </c>
      <c r="F27" s="383">
        <f>'Лист ожидания'!H27</f>
        <v>0</v>
      </c>
      <c r="G27" s="381">
        <f>'Лист ожидания'!F27</f>
        <v>0</v>
      </c>
      <c r="H27" s="383">
        <f>IF(B27=0,"",'Лист ожидания'!I27)</f>
      </c>
      <c r="I27" s="384">
        <f>'Лист ожидания'!D27</f>
        <v>0</v>
      </c>
      <c r="J27" s="385">
        <f>IF(B27=0,"",CONCATENATE("ОТ ",'Лист ожидания'!K27))</f>
      </c>
      <c r="K27" s="564"/>
      <c r="L27" s="565"/>
      <c r="M27" s="386">
        <f>IF(B27=0,"",Установка!$C$14)</f>
      </c>
      <c r="N27" s="387"/>
    </row>
    <row r="28" spans="1:14" ht="21" customHeight="1">
      <c r="A28" s="381">
        <v>17</v>
      </c>
      <c r="B28" s="566">
        <f>'Лист ожидания'!E28</f>
        <v>0</v>
      </c>
      <c r="C28" s="567"/>
      <c r="D28" s="568"/>
      <c r="E28" s="382">
        <f>'Лист ожидания'!G28</f>
        <v>0</v>
      </c>
      <c r="F28" s="383">
        <f>'Лист ожидания'!H28</f>
        <v>0</v>
      </c>
      <c r="G28" s="381">
        <f>'Лист ожидания'!F28</f>
        <v>0</v>
      </c>
      <c r="H28" s="383">
        <f>IF(B28=0,"",'Лист ожидания'!I28)</f>
      </c>
      <c r="I28" s="384">
        <f>'Лист ожидания'!D28</f>
        <v>0</v>
      </c>
      <c r="J28" s="385">
        <f>IF(B28=0,"",CONCATENATE("ОТ ",'Лист ожидания'!K28))</f>
      </c>
      <c r="K28" s="564"/>
      <c r="L28" s="565"/>
      <c r="M28" s="386">
        <f>IF(B28=0,"",Установка!$C$14)</f>
      </c>
      <c r="N28" s="387"/>
    </row>
    <row r="29" spans="1:14" ht="21" customHeight="1">
      <c r="A29" s="381">
        <v>18</v>
      </c>
      <c r="B29" s="566">
        <f>'Лист ожидания'!E29</f>
        <v>0</v>
      </c>
      <c r="C29" s="567"/>
      <c r="D29" s="568"/>
      <c r="E29" s="382">
        <f>'Лист ожидания'!G29</f>
        <v>0</v>
      </c>
      <c r="F29" s="383">
        <f>'Лист ожидания'!H29</f>
        <v>0</v>
      </c>
      <c r="G29" s="381">
        <f>'Лист ожидания'!F29</f>
        <v>0</v>
      </c>
      <c r="H29" s="383">
        <f>IF(B29=0,"",'Лист ожидания'!I29)</f>
      </c>
      <c r="I29" s="384">
        <f>'Лист ожидания'!D29</f>
        <v>0</v>
      </c>
      <c r="J29" s="385">
        <f>IF(B29=0,"",CONCATENATE("ОТ ",'Лист ожидания'!K29))</f>
      </c>
      <c r="K29" s="564"/>
      <c r="L29" s="565"/>
      <c r="M29" s="386">
        <f>IF(B29=0,"",Установка!$C$14)</f>
      </c>
      <c r="N29" s="387"/>
    </row>
    <row r="30" spans="1:14" ht="21" customHeight="1">
      <c r="A30" s="381">
        <v>19</v>
      </c>
      <c r="B30" s="566">
        <f>'Лист ожидания'!E30</f>
        <v>0</v>
      </c>
      <c r="C30" s="567"/>
      <c r="D30" s="568"/>
      <c r="E30" s="382">
        <f>'Лист ожидания'!G30</f>
        <v>0</v>
      </c>
      <c r="F30" s="383">
        <f>'Лист ожидания'!H30</f>
        <v>0</v>
      </c>
      <c r="G30" s="381">
        <f>'Лист ожидания'!F30</f>
        <v>0</v>
      </c>
      <c r="H30" s="383">
        <f>IF(B30=0,"",'Лист ожидания'!I30)</f>
      </c>
      <c r="I30" s="384">
        <f>'Лист ожидания'!D30</f>
        <v>0</v>
      </c>
      <c r="J30" s="385">
        <f>IF(B30=0,"",CONCATENATE("ОТ ",'Лист ожидания'!K30))</f>
      </c>
      <c r="K30" s="564"/>
      <c r="L30" s="565"/>
      <c r="M30" s="386">
        <f>IF(B30=0,"",Установка!$C$14)</f>
      </c>
      <c r="N30" s="387"/>
    </row>
    <row r="31" spans="1:14" ht="21" customHeight="1">
      <c r="A31" s="381">
        <v>20</v>
      </c>
      <c r="B31" s="566">
        <f>'Лист ожидания'!E31</f>
        <v>0</v>
      </c>
      <c r="C31" s="567"/>
      <c r="D31" s="568"/>
      <c r="E31" s="382">
        <f>'Лист ожидания'!G31</f>
        <v>0</v>
      </c>
      <c r="F31" s="383">
        <f>'Лист ожидания'!H31</f>
        <v>0</v>
      </c>
      <c r="G31" s="381">
        <f>'Лист ожидания'!F31</f>
        <v>0</v>
      </c>
      <c r="H31" s="383">
        <f>IF(B31=0,"",'Лист ожидания'!I31)</f>
      </c>
      <c r="I31" s="384">
        <f>'Лист ожидания'!D31</f>
        <v>0</v>
      </c>
      <c r="J31" s="385">
        <f>IF(B31=0,"",CONCATENATE("ОТ ",'Лист ожидания'!K31))</f>
      </c>
      <c r="K31" s="564"/>
      <c r="L31" s="565"/>
      <c r="M31" s="386">
        <f>IF(B31=0,"",Установка!$C$14)</f>
      </c>
      <c r="N31" s="387"/>
    </row>
    <row r="32" spans="1:14" ht="21" customHeight="1">
      <c r="A32" s="381">
        <v>21</v>
      </c>
      <c r="B32" s="566">
        <f>'Лист ожидания'!E32</f>
        <v>0</v>
      </c>
      <c r="C32" s="567"/>
      <c r="D32" s="568"/>
      <c r="E32" s="382">
        <f>'Лист ожидания'!G32</f>
        <v>0</v>
      </c>
      <c r="F32" s="383">
        <f>'Лист ожидания'!H32</f>
        <v>0</v>
      </c>
      <c r="G32" s="381">
        <f>'Лист ожидания'!F32</f>
        <v>0</v>
      </c>
      <c r="H32" s="383">
        <f>IF(B32=0,"",'Лист ожидания'!I32)</f>
      </c>
      <c r="I32" s="384">
        <f>'Лист ожидания'!D32</f>
        <v>0</v>
      </c>
      <c r="J32" s="385">
        <f>IF(B32=0,"",CONCATENATE("ОТ ",'Лист ожидания'!K32))</f>
      </c>
      <c r="K32" s="564"/>
      <c r="L32" s="565"/>
      <c r="M32" s="386">
        <f>IF(B32=0,"",Установка!$C$14)</f>
      </c>
      <c r="N32" s="387"/>
    </row>
    <row r="33" spans="1:14" ht="21" customHeight="1">
      <c r="A33" s="381">
        <v>22</v>
      </c>
      <c r="B33" s="566">
        <f>'Лист ожидания'!E33</f>
        <v>0</v>
      </c>
      <c r="C33" s="567"/>
      <c r="D33" s="568"/>
      <c r="E33" s="382">
        <f>'Лист ожидания'!G33</f>
        <v>0</v>
      </c>
      <c r="F33" s="383">
        <f>'Лист ожидания'!H33</f>
        <v>0</v>
      </c>
      <c r="G33" s="381">
        <f>'Лист ожидания'!F33</f>
        <v>0</v>
      </c>
      <c r="H33" s="383">
        <f>IF(B33=0,"",'Лист ожидания'!I33)</f>
      </c>
      <c r="I33" s="384">
        <f>'Лист ожидания'!D33</f>
        <v>0</v>
      </c>
      <c r="J33" s="385">
        <f>IF(B33=0,"",CONCATENATE("ОТ ",'Лист ожидания'!K33))</f>
      </c>
      <c r="K33" s="564"/>
      <c r="L33" s="565"/>
      <c r="M33" s="386">
        <f>IF(B33=0,"",Установка!$C$14)</f>
      </c>
      <c r="N33" s="387"/>
    </row>
    <row r="34" spans="1:14" ht="21" customHeight="1">
      <c r="A34" s="381">
        <v>23</v>
      </c>
      <c r="B34" s="566">
        <f>'Лист ожидания'!E34</f>
        <v>0</v>
      </c>
      <c r="C34" s="567"/>
      <c r="D34" s="568"/>
      <c r="E34" s="382">
        <f>'Лист ожидания'!G34</f>
        <v>0</v>
      </c>
      <c r="F34" s="383">
        <f>'Лист ожидания'!H34</f>
        <v>0</v>
      </c>
      <c r="G34" s="381">
        <f>'Лист ожидания'!F34</f>
        <v>0</v>
      </c>
      <c r="H34" s="383">
        <f>IF(B34=0,"",'Лист ожидания'!I34)</f>
      </c>
      <c r="I34" s="384">
        <f>'Лист ожидания'!D34</f>
        <v>0</v>
      </c>
      <c r="J34" s="385">
        <f>IF(B34=0,"",CONCATENATE("ОТ ",'Лист ожидания'!K34))</f>
      </c>
      <c r="K34" s="564"/>
      <c r="L34" s="565"/>
      <c r="M34" s="386">
        <f>IF(B34=0,"",Установка!$C$14)</f>
      </c>
      <c r="N34" s="387"/>
    </row>
    <row r="35" spans="1:14" ht="21" customHeight="1">
      <c r="A35" s="381">
        <v>24</v>
      </c>
      <c r="B35" s="566">
        <f>'Лист ожидания'!E35</f>
        <v>0</v>
      </c>
      <c r="C35" s="567"/>
      <c r="D35" s="568"/>
      <c r="E35" s="382">
        <f>'Лист ожидания'!G35</f>
        <v>0</v>
      </c>
      <c r="F35" s="383">
        <f>'Лист ожидания'!H35</f>
        <v>0</v>
      </c>
      <c r="G35" s="381">
        <f>'Лист ожидания'!F35</f>
        <v>0</v>
      </c>
      <c r="H35" s="383">
        <f>IF(B35=0,"",'Лист ожидания'!I35)</f>
      </c>
      <c r="I35" s="384">
        <f>'Лист ожидания'!D35</f>
        <v>0</v>
      </c>
      <c r="J35" s="385">
        <f>IF(B35=0,"",CONCATENATE("ОТ ",'Лист ожидания'!K35))</f>
      </c>
      <c r="K35" s="564"/>
      <c r="L35" s="565"/>
      <c r="M35" s="386">
        <f>IF(B35=0,"",Установка!$C$14)</f>
      </c>
      <c r="N35" s="387"/>
    </row>
    <row r="36" spans="1:14" ht="21" customHeight="1">
      <c r="A36" s="381">
        <v>25</v>
      </c>
      <c r="B36" s="566">
        <f>'Лист ожидания'!E36</f>
        <v>0</v>
      </c>
      <c r="C36" s="567"/>
      <c r="D36" s="568"/>
      <c r="E36" s="382">
        <f>'Лист ожидания'!G36</f>
        <v>0</v>
      </c>
      <c r="F36" s="383">
        <f>'Лист ожидания'!H36</f>
        <v>0</v>
      </c>
      <c r="G36" s="381">
        <f>'Лист ожидания'!F36</f>
        <v>0</v>
      </c>
      <c r="H36" s="383">
        <f>IF(B36=0,"",'Лист ожидания'!I36)</f>
      </c>
      <c r="I36" s="384">
        <f>'Лист ожидания'!D36</f>
        <v>0</v>
      </c>
      <c r="J36" s="385">
        <f>IF(B36=0,"",CONCATENATE("ОТ ",'Лист ожидания'!K36))</f>
      </c>
      <c r="K36" s="564"/>
      <c r="L36" s="565"/>
      <c r="M36" s="386">
        <f>IF(B36=0,"",Установка!$C$14)</f>
      </c>
      <c r="N36" s="387"/>
    </row>
    <row r="37" spans="1:14" ht="21" customHeight="1">
      <c r="A37" s="381">
        <v>26</v>
      </c>
      <c r="B37" s="566">
        <f>'Лист ожидания'!E37</f>
        <v>0</v>
      </c>
      <c r="C37" s="567"/>
      <c r="D37" s="568"/>
      <c r="E37" s="382">
        <f>'Лист ожидания'!G37</f>
        <v>0</v>
      </c>
      <c r="F37" s="383">
        <f>'Лист ожидания'!H37</f>
        <v>0</v>
      </c>
      <c r="G37" s="381">
        <f>'Лист ожидания'!F37</f>
        <v>0</v>
      </c>
      <c r="H37" s="383">
        <f>IF(B37=0,"",'Лист ожидания'!I37)</f>
      </c>
      <c r="I37" s="384">
        <f>'Лист ожидания'!D37</f>
        <v>0</v>
      </c>
      <c r="J37" s="385">
        <f>IF(B37=0,"",CONCATENATE("ОТ ",'Лист ожидания'!K37))</f>
      </c>
      <c r="K37" s="564"/>
      <c r="L37" s="565"/>
      <c r="M37" s="386">
        <f>IF(B37=0,"",Установка!$C$14)</f>
      </c>
      <c r="N37" s="387"/>
    </row>
    <row r="38" spans="1:14" ht="21" customHeight="1">
      <c r="A38" s="381">
        <v>27</v>
      </c>
      <c r="B38" s="566">
        <f>'Лист ожидания'!E38</f>
        <v>0</v>
      </c>
      <c r="C38" s="567"/>
      <c r="D38" s="568"/>
      <c r="E38" s="382">
        <f>'Лист ожидания'!G38</f>
        <v>0</v>
      </c>
      <c r="F38" s="383">
        <f>'Лист ожидания'!H38</f>
        <v>0</v>
      </c>
      <c r="G38" s="381">
        <f>'Лист ожидания'!F38</f>
        <v>0</v>
      </c>
      <c r="H38" s="383">
        <f>IF(B38=0,"",'Лист ожидания'!I38)</f>
      </c>
      <c r="I38" s="384">
        <f>'Лист ожидания'!D38</f>
        <v>0</v>
      </c>
      <c r="J38" s="385">
        <f>IF(B38=0,"",CONCATENATE("ОТ ",'Лист ожидания'!K38))</f>
      </c>
      <c r="K38" s="564"/>
      <c r="L38" s="565"/>
      <c r="M38" s="386">
        <f>IF(B38=0,"",Установка!$C$14)</f>
      </c>
      <c r="N38" s="387"/>
    </row>
    <row r="39" spans="1:14" ht="21" customHeight="1">
      <c r="A39" s="381">
        <v>28</v>
      </c>
      <c r="B39" s="566">
        <f>'Лист ожидания'!E39</f>
        <v>0</v>
      </c>
      <c r="C39" s="567"/>
      <c r="D39" s="568"/>
      <c r="E39" s="382">
        <f>'Лист ожидания'!G39</f>
        <v>0</v>
      </c>
      <c r="F39" s="383">
        <f>'Лист ожидания'!H39</f>
        <v>0</v>
      </c>
      <c r="G39" s="381">
        <f>'Лист ожидания'!F39</f>
        <v>0</v>
      </c>
      <c r="H39" s="383">
        <f>IF(B39=0,"",'Лист ожидания'!I39)</f>
      </c>
      <c r="I39" s="384">
        <f>'Лист ожидания'!D39</f>
        <v>0</v>
      </c>
      <c r="J39" s="385">
        <f>IF(B39=0,"",CONCATENATE("ОТ ",'Лист ожидания'!K39))</f>
      </c>
      <c r="K39" s="564"/>
      <c r="L39" s="565"/>
      <c r="M39" s="386">
        <f>IF(B39=0,"",Установка!$C$14)</f>
      </c>
      <c r="N39" s="387"/>
    </row>
    <row r="40" spans="1:14" ht="21" customHeight="1">
      <c r="A40" s="381">
        <v>29</v>
      </c>
      <c r="B40" s="566">
        <f>'Лист ожидания'!E40</f>
        <v>0</v>
      </c>
      <c r="C40" s="567"/>
      <c r="D40" s="568"/>
      <c r="E40" s="382">
        <f>'Лист ожидания'!G40</f>
        <v>0</v>
      </c>
      <c r="F40" s="383">
        <f>'Лист ожидания'!H40</f>
        <v>0</v>
      </c>
      <c r="G40" s="381">
        <f>'Лист ожидания'!F40</f>
        <v>0</v>
      </c>
      <c r="H40" s="383">
        <f>IF(B40=0,"",'Лист ожидания'!I40)</f>
      </c>
      <c r="I40" s="384">
        <f>'Лист ожидания'!D40</f>
        <v>0</v>
      </c>
      <c r="J40" s="385">
        <f>IF(B40=0,"",CONCATENATE("ОТ ",'Лист ожидания'!K40))</f>
      </c>
      <c r="K40" s="564"/>
      <c r="L40" s="565"/>
      <c r="M40" s="386">
        <f>IF(B40=0,"",Установка!$C$14)</f>
      </c>
      <c r="N40" s="387"/>
    </row>
    <row r="41" spans="1:14" ht="21" customHeight="1">
      <c r="A41" s="381">
        <v>30</v>
      </c>
      <c r="B41" s="566">
        <f>'Лист ожидания'!E41</f>
        <v>0</v>
      </c>
      <c r="C41" s="567"/>
      <c r="D41" s="568"/>
      <c r="E41" s="382">
        <f>'Лист ожидания'!G41</f>
        <v>0</v>
      </c>
      <c r="F41" s="383">
        <f>'Лист ожидания'!H41</f>
        <v>0</v>
      </c>
      <c r="G41" s="381">
        <f>'Лист ожидания'!F41</f>
        <v>0</v>
      </c>
      <c r="H41" s="383">
        <f>IF(B41=0,"",'Лист ожидания'!I41)</f>
      </c>
      <c r="I41" s="384">
        <f>'Лист ожидания'!D41</f>
        <v>0</v>
      </c>
      <c r="J41" s="385">
        <f>IF(B41=0,"",CONCATENATE("ОТ ",'Лист ожидания'!K41))</f>
      </c>
      <c r="K41" s="564"/>
      <c r="L41" s="565"/>
      <c r="M41" s="386">
        <f>IF(B41=0,"",Установка!$C$14)</f>
      </c>
      <c r="N41" s="387"/>
    </row>
    <row r="42" spans="1:14" ht="21" customHeight="1">
      <c r="A42" s="381">
        <v>31</v>
      </c>
      <c r="B42" s="566">
        <f>'Лист ожидания'!E42</f>
        <v>0</v>
      </c>
      <c r="C42" s="567"/>
      <c r="D42" s="568"/>
      <c r="E42" s="382">
        <f>'Лист ожидания'!G42</f>
        <v>0</v>
      </c>
      <c r="F42" s="383">
        <f>'Лист ожидания'!H42</f>
        <v>0</v>
      </c>
      <c r="G42" s="381">
        <f>'Лист ожидания'!F42</f>
        <v>0</v>
      </c>
      <c r="H42" s="383">
        <f>IF(B42=0,"",'Лист ожидания'!I42)</f>
      </c>
      <c r="I42" s="384">
        <f>'Лист ожидания'!D42</f>
        <v>0</v>
      </c>
      <c r="J42" s="385">
        <f>IF(B42=0,"",CONCATENATE("ОТ ",'Лист ожидания'!K42))</f>
      </c>
      <c r="K42" s="564"/>
      <c r="L42" s="565"/>
      <c r="M42" s="386">
        <f>IF(B42=0,"",Установка!$C$14)</f>
      </c>
      <c r="N42" s="387"/>
    </row>
    <row r="43" spans="1:14" ht="21" customHeight="1">
      <c r="A43" s="381">
        <v>32</v>
      </c>
      <c r="B43" s="566">
        <f>'Лист ожидания'!E43</f>
        <v>0</v>
      </c>
      <c r="C43" s="567"/>
      <c r="D43" s="568"/>
      <c r="E43" s="382">
        <f>'Лист ожидания'!G43</f>
        <v>0</v>
      </c>
      <c r="F43" s="383">
        <f>'Лист ожидания'!H43</f>
        <v>0</v>
      </c>
      <c r="G43" s="381">
        <f>'Лист ожидания'!F43</f>
        <v>0</v>
      </c>
      <c r="H43" s="383">
        <f>IF(B43=0,"",'Лист ожидания'!I43)</f>
      </c>
      <c r="I43" s="384">
        <f>'Лист ожидания'!D43</f>
        <v>0</v>
      </c>
      <c r="J43" s="385">
        <f>IF(B43=0,"",CONCATENATE("ОТ ",'Лист ожидания'!K43))</f>
      </c>
      <c r="K43" s="564"/>
      <c r="L43" s="565"/>
      <c r="M43" s="386">
        <f>IF(B43=0,"",Установка!$C$14)</f>
      </c>
      <c r="N43" s="387"/>
    </row>
    <row r="44" spans="1:14" ht="21" customHeight="1">
      <c r="A44" s="381">
        <v>33</v>
      </c>
      <c r="B44" s="566">
        <f>'Лист ожидания'!E44</f>
        <v>0</v>
      </c>
      <c r="C44" s="567"/>
      <c r="D44" s="568"/>
      <c r="E44" s="382">
        <f>'Лист ожидания'!G44</f>
        <v>0</v>
      </c>
      <c r="F44" s="383">
        <f>'Лист ожидания'!H44</f>
        <v>0</v>
      </c>
      <c r="G44" s="381">
        <f>'Лист ожидания'!F44</f>
        <v>0</v>
      </c>
      <c r="H44" s="383">
        <f>IF(B44=0,"",'Лист ожидания'!I44)</f>
      </c>
      <c r="I44" s="384">
        <f>'Лист ожидания'!D44</f>
        <v>0</v>
      </c>
      <c r="J44" s="385">
        <f>IF(B44=0,"",CONCATENATE("ОТ ",'Лист ожидания'!K44))</f>
      </c>
      <c r="K44" s="564"/>
      <c r="L44" s="565"/>
      <c r="M44" s="386">
        <f>IF(B44=0,"",Установка!$C$14)</f>
      </c>
      <c r="N44" s="387"/>
    </row>
    <row r="45" spans="1:14" ht="21" customHeight="1">
      <c r="A45" s="381">
        <v>34</v>
      </c>
      <c r="B45" s="566">
        <f>'Лист ожидания'!E45</f>
        <v>0</v>
      </c>
      <c r="C45" s="567"/>
      <c r="D45" s="568"/>
      <c r="E45" s="382">
        <f>'Лист ожидания'!G45</f>
        <v>0</v>
      </c>
      <c r="F45" s="383">
        <f>'Лист ожидания'!H45</f>
        <v>0</v>
      </c>
      <c r="G45" s="381">
        <f>'Лист ожидания'!F45</f>
        <v>0</v>
      </c>
      <c r="H45" s="383">
        <f>IF(B45=0,"",'Лист ожидания'!I45)</f>
      </c>
      <c r="I45" s="384">
        <f>'Лист ожидания'!D45</f>
        <v>0</v>
      </c>
      <c r="J45" s="385">
        <f>IF(B45=0,"",CONCATENATE("ОТ ",'Лист ожидания'!K45))</f>
      </c>
      <c r="K45" s="564"/>
      <c r="L45" s="565"/>
      <c r="M45" s="386">
        <f>IF(B45=0,"",Установка!$C$14)</f>
      </c>
      <c r="N45" s="387"/>
    </row>
    <row r="46" spans="1:14" ht="21" customHeight="1">
      <c r="A46" s="381">
        <v>35</v>
      </c>
      <c r="B46" s="566">
        <f>'Лист ожидания'!E46</f>
        <v>0</v>
      </c>
      <c r="C46" s="567"/>
      <c r="D46" s="568"/>
      <c r="E46" s="382">
        <f>'Лист ожидания'!G46</f>
        <v>0</v>
      </c>
      <c r="F46" s="383">
        <f>'Лист ожидания'!H46</f>
        <v>0</v>
      </c>
      <c r="G46" s="381">
        <f>'Лист ожидания'!F46</f>
        <v>0</v>
      </c>
      <c r="H46" s="383">
        <f>IF(B46=0,"",'Лист ожидания'!I46)</f>
      </c>
      <c r="I46" s="384">
        <f>'Лист ожидания'!D46</f>
        <v>0</v>
      </c>
      <c r="J46" s="385">
        <f>IF(B46=0,"",CONCATENATE("ОТ ",'Лист ожидания'!K46))</f>
      </c>
      <c r="K46" s="564"/>
      <c r="L46" s="565"/>
      <c r="M46" s="386">
        <f>IF(B46=0,"",Установка!$C$14)</f>
      </c>
      <c r="N46" s="387"/>
    </row>
    <row r="47" spans="1:14" ht="21" customHeight="1">
      <c r="A47" s="381">
        <v>36</v>
      </c>
      <c r="B47" s="566">
        <f>'Лист ожидания'!E47</f>
        <v>0</v>
      </c>
      <c r="C47" s="567"/>
      <c r="D47" s="568"/>
      <c r="E47" s="382">
        <f>'Лист ожидания'!G47</f>
        <v>0</v>
      </c>
      <c r="F47" s="383">
        <f>'Лист ожидания'!H47</f>
        <v>0</v>
      </c>
      <c r="G47" s="381">
        <f>'Лист ожидания'!F47</f>
        <v>0</v>
      </c>
      <c r="H47" s="383">
        <f>IF(B47=0,"",'Лист ожидания'!I47)</f>
      </c>
      <c r="I47" s="384">
        <f>'Лист ожидания'!D47</f>
        <v>0</v>
      </c>
      <c r="J47" s="385">
        <f>IF(B47=0,"",CONCATENATE("ОТ ",'Лист ожидания'!K47))</f>
      </c>
      <c r="K47" s="564"/>
      <c r="L47" s="565"/>
      <c r="M47" s="386">
        <f>IF(B47=0,"",Установка!$C$14)</f>
      </c>
      <c r="N47" s="387"/>
    </row>
    <row r="48" spans="1:14" ht="21" customHeight="1">
      <c r="A48" s="381">
        <v>37</v>
      </c>
      <c r="B48" s="566">
        <f>'Лист ожидания'!E48</f>
        <v>0</v>
      </c>
      <c r="C48" s="567"/>
      <c r="D48" s="568"/>
      <c r="E48" s="382">
        <f>'Лист ожидания'!G48</f>
        <v>0</v>
      </c>
      <c r="F48" s="383">
        <f>'Лист ожидания'!H48</f>
        <v>0</v>
      </c>
      <c r="G48" s="381">
        <f>'Лист ожидания'!F48</f>
        <v>0</v>
      </c>
      <c r="H48" s="383">
        <f>IF(B48=0,"",'Лист ожидания'!I48)</f>
      </c>
      <c r="I48" s="384">
        <f>'Лист ожидания'!D48</f>
        <v>0</v>
      </c>
      <c r="J48" s="385">
        <f>IF(B48=0,"",CONCATENATE("ОТ ",'Лист ожидания'!K48))</f>
      </c>
      <c r="K48" s="564"/>
      <c r="L48" s="565"/>
      <c r="M48" s="386">
        <f>IF(B48=0,"",Установка!$C$14)</f>
      </c>
      <c r="N48" s="387"/>
    </row>
    <row r="49" spans="1:14" ht="21" customHeight="1">
      <c r="A49" s="381">
        <v>38</v>
      </c>
      <c r="B49" s="566">
        <f>'Лист ожидания'!E49</f>
        <v>0</v>
      </c>
      <c r="C49" s="567"/>
      <c r="D49" s="568"/>
      <c r="E49" s="382">
        <f>'Лист ожидания'!G49</f>
        <v>0</v>
      </c>
      <c r="F49" s="383">
        <f>'Лист ожидания'!H49</f>
        <v>0</v>
      </c>
      <c r="G49" s="381">
        <f>'Лист ожидания'!F49</f>
        <v>0</v>
      </c>
      <c r="H49" s="383">
        <f>IF(B49=0,"",'Лист ожидания'!I49)</f>
      </c>
      <c r="I49" s="384">
        <f>'Лист ожидания'!D49</f>
        <v>0</v>
      </c>
      <c r="J49" s="385">
        <f>IF(B49=0,"",CONCATENATE("ОТ ",'Лист ожидания'!K49))</f>
      </c>
      <c r="K49" s="564"/>
      <c r="L49" s="565"/>
      <c r="M49" s="386">
        <f>IF(B49=0,"",Установка!$C$14)</f>
      </c>
      <c r="N49" s="387"/>
    </row>
    <row r="50" spans="1:14" ht="21" customHeight="1">
      <c r="A50" s="381">
        <v>39</v>
      </c>
      <c r="B50" s="566">
        <f>'Лист ожидания'!E50</f>
        <v>0</v>
      </c>
      <c r="C50" s="567"/>
      <c r="D50" s="568"/>
      <c r="E50" s="382">
        <f>'Лист ожидания'!G50</f>
        <v>0</v>
      </c>
      <c r="F50" s="383">
        <f>'Лист ожидания'!H50</f>
        <v>0</v>
      </c>
      <c r="G50" s="381">
        <f>'Лист ожидания'!F50</f>
        <v>0</v>
      </c>
      <c r="H50" s="383">
        <f>IF(B50=0,"",'Лист ожидания'!I50)</f>
      </c>
      <c r="I50" s="384">
        <f>'Лист ожидания'!D50</f>
        <v>0</v>
      </c>
      <c r="J50" s="385">
        <f>IF(B50=0,"",CONCATENATE("ОТ ",'Лист ожидания'!K50))</f>
      </c>
      <c r="K50" s="564"/>
      <c r="L50" s="565"/>
      <c r="M50" s="386">
        <f>IF(B50=0,"",Установка!$C$14)</f>
      </c>
      <c r="N50" s="387"/>
    </row>
    <row r="51" spans="1:14" ht="21" customHeight="1">
      <c r="A51" s="381">
        <v>40</v>
      </c>
      <c r="B51" s="566">
        <f>'Лист ожидания'!E51</f>
        <v>0</v>
      </c>
      <c r="C51" s="567"/>
      <c r="D51" s="568"/>
      <c r="E51" s="382">
        <f>'Лист ожидания'!G51</f>
        <v>0</v>
      </c>
      <c r="F51" s="383">
        <f>'Лист ожидания'!H51</f>
        <v>0</v>
      </c>
      <c r="G51" s="381">
        <f>'Лист ожидания'!F51</f>
        <v>0</v>
      </c>
      <c r="H51" s="383">
        <f>IF(B51=0,"",'Лист ожидания'!I51)</f>
      </c>
      <c r="I51" s="384">
        <f>'Лист ожидания'!D51</f>
        <v>0</v>
      </c>
      <c r="J51" s="385">
        <f>IF(B51=0,"",CONCATENATE("ОТ ",'Лист ожидания'!K51))</f>
      </c>
      <c r="K51" s="564"/>
      <c r="L51" s="565"/>
      <c r="M51" s="386">
        <f>IF(B51=0,"",Установка!$C$14)</f>
      </c>
      <c r="N51" s="387"/>
    </row>
    <row r="52" spans="1:14" ht="21" customHeight="1">
      <c r="A52" s="381">
        <v>41</v>
      </c>
      <c r="B52" s="566">
        <f>'Лист ожидания'!E52</f>
        <v>0</v>
      </c>
      <c r="C52" s="567"/>
      <c r="D52" s="568"/>
      <c r="E52" s="382">
        <f>'Лист ожидания'!G52</f>
        <v>0</v>
      </c>
      <c r="F52" s="383">
        <f>'Лист ожидания'!H52</f>
        <v>0</v>
      </c>
      <c r="G52" s="381">
        <f>'Лист ожидания'!F52</f>
        <v>0</v>
      </c>
      <c r="H52" s="383">
        <f>IF(B52=0,"",'Лист ожидания'!I52)</f>
      </c>
      <c r="I52" s="384">
        <f>'Лист ожидания'!D52</f>
        <v>0</v>
      </c>
      <c r="J52" s="385">
        <f>IF(B52=0,"",CONCATENATE("ОТ ",'Лист ожидания'!K52))</f>
      </c>
      <c r="K52" s="564"/>
      <c r="L52" s="565"/>
      <c r="M52" s="386">
        <f>IF(B52=0,"",Установка!$C$14)</f>
      </c>
      <c r="N52" s="387"/>
    </row>
    <row r="53" spans="1:14" ht="21" customHeight="1">
      <c r="A53" s="381">
        <v>42</v>
      </c>
      <c r="B53" s="566">
        <f>'Лист ожидания'!E53</f>
        <v>0</v>
      </c>
      <c r="C53" s="567"/>
      <c r="D53" s="568"/>
      <c r="E53" s="382">
        <f>'Лист ожидания'!G53</f>
        <v>0</v>
      </c>
      <c r="F53" s="383">
        <f>'Лист ожидания'!H53</f>
        <v>0</v>
      </c>
      <c r="G53" s="381">
        <f>'Лист ожидания'!F53</f>
        <v>0</v>
      </c>
      <c r="H53" s="383">
        <f>IF(B53=0,"",'Лист ожидания'!I53)</f>
      </c>
      <c r="I53" s="384">
        <f>'Лист ожидания'!D53</f>
        <v>0</v>
      </c>
      <c r="J53" s="385">
        <f>IF(B53=0,"",CONCATENATE("ОТ ",'Лист ожидания'!K53))</f>
      </c>
      <c r="K53" s="564"/>
      <c r="L53" s="565"/>
      <c r="M53" s="386">
        <f>IF(B53=0,"",Установка!$C$14)</f>
      </c>
      <c r="N53" s="387"/>
    </row>
    <row r="54" spans="1:14" ht="21" customHeight="1">
      <c r="A54" s="381">
        <v>43</v>
      </c>
      <c r="B54" s="566">
        <f>'Лист ожидания'!E54</f>
        <v>0</v>
      </c>
      <c r="C54" s="567"/>
      <c r="D54" s="568"/>
      <c r="E54" s="382">
        <f>'Лист ожидания'!G54</f>
        <v>0</v>
      </c>
      <c r="F54" s="383">
        <f>'Лист ожидания'!H54</f>
        <v>0</v>
      </c>
      <c r="G54" s="381">
        <f>'Лист ожидания'!F54</f>
        <v>0</v>
      </c>
      <c r="H54" s="383">
        <f>IF(B54=0,"",'Лист ожидания'!I54)</f>
      </c>
      <c r="I54" s="384">
        <f>'Лист ожидания'!D54</f>
        <v>0</v>
      </c>
      <c r="J54" s="385">
        <f>IF(B54=0,"",CONCATENATE("ОТ ",'Лист ожидания'!K54))</f>
      </c>
      <c r="K54" s="564"/>
      <c r="L54" s="565"/>
      <c r="M54" s="386">
        <f>IF(B54=0,"",Установка!$C$14)</f>
      </c>
      <c r="N54" s="387"/>
    </row>
    <row r="55" spans="1:14" ht="21" customHeight="1">
      <c r="A55" s="381">
        <v>44</v>
      </c>
      <c r="B55" s="566">
        <f>'Лист ожидания'!E55</f>
        <v>0</v>
      </c>
      <c r="C55" s="567"/>
      <c r="D55" s="568"/>
      <c r="E55" s="382">
        <f>'Лист ожидания'!G55</f>
        <v>0</v>
      </c>
      <c r="F55" s="383">
        <f>'Лист ожидания'!H55</f>
        <v>0</v>
      </c>
      <c r="G55" s="381">
        <f>'Лист ожидания'!F55</f>
        <v>0</v>
      </c>
      <c r="H55" s="383">
        <f>IF(B55=0,"",'Лист ожидания'!I55)</f>
      </c>
      <c r="I55" s="384">
        <f>'Лист ожидания'!D55</f>
        <v>0</v>
      </c>
      <c r="J55" s="385">
        <f>IF(B55=0,"",CONCATENATE("ОТ ",'Лист ожидания'!K55))</f>
      </c>
      <c r="K55" s="564"/>
      <c r="L55" s="565"/>
      <c r="M55" s="386">
        <f>IF(B55=0,"",Установка!$C$14)</f>
      </c>
      <c r="N55" s="387"/>
    </row>
    <row r="56" spans="1:14" ht="21" customHeight="1">
      <c r="A56" s="381">
        <v>45</v>
      </c>
      <c r="B56" s="566">
        <f>'Лист ожидания'!E56</f>
        <v>0</v>
      </c>
      <c r="C56" s="567"/>
      <c r="D56" s="568"/>
      <c r="E56" s="382">
        <f>'Лист ожидания'!G56</f>
        <v>0</v>
      </c>
      <c r="F56" s="383">
        <f>'Лист ожидания'!H56</f>
        <v>0</v>
      </c>
      <c r="G56" s="381">
        <f>'Лист ожидания'!F56</f>
        <v>0</v>
      </c>
      <c r="H56" s="383">
        <f>IF(B56=0,"",'Лист ожидания'!I56)</f>
      </c>
      <c r="I56" s="384">
        <f>'Лист ожидания'!D56</f>
        <v>0</v>
      </c>
      <c r="J56" s="385">
        <f>IF(B56=0,"",CONCATENATE("ОТ ",'Лист ожидания'!K56))</f>
      </c>
      <c r="K56" s="564"/>
      <c r="L56" s="565"/>
      <c r="M56" s="386">
        <f>IF(B56=0,"",Установка!$C$14)</f>
      </c>
      <c r="N56" s="387"/>
    </row>
    <row r="57" spans="1:14" ht="21" customHeight="1">
      <c r="A57" s="381">
        <v>46</v>
      </c>
      <c r="B57" s="566">
        <f>'Лист ожидания'!E57</f>
        <v>0</v>
      </c>
      <c r="C57" s="567"/>
      <c r="D57" s="568"/>
      <c r="E57" s="382">
        <f>'Лист ожидания'!G57</f>
        <v>0</v>
      </c>
      <c r="F57" s="383">
        <f>'Лист ожидания'!H57</f>
        <v>0</v>
      </c>
      <c r="G57" s="381">
        <f>'Лист ожидания'!F57</f>
        <v>0</v>
      </c>
      <c r="H57" s="383">
        <f>IF(B57=0,"",'Лист ожидания'!I57)</f>
      </c>
      <c r="I57" s="384">
        <f>'Лист ожидания'!D57</f>
        <v>0</v>
      </c>
      <c r="J57" s="385">
        <f>IF(B57=0,"",CONCATENATE("ОТ ",'Лист ожидания'!K57))</f>
      </c>
      <c r="K57" s="564"/>
      <c r="L57" s="565"/>
      <c r="M57" s="386">
        <f>IF(B57=0,"",Установка!$C$14)</f>
      </c>
      <c r="N57" s="387"/>
    </row>
    <row r="58" spans="1:14" ht="21" customHeight="1">
      <c r="A58" s="381">
        <v>47</v>
      </c>
      <c r="B58" s="566">
        <f>'Лист ожидания'!E58</f>
        <v>0</v>
      </c>
      <c r="C58" s="567"/>
      <c r="D58" s="568"/>
      <c r="E58" s="382">
        <f>'Лист ожидания'!G58</f>
        <v>0</v>
      </c>
      <c r="F58" s="383">
        <f>'Лист ожидания'!H58</f>
        <v>0</v>
      </c>
      <c r="G58" s="381">
        <f>'Лист ожидания'!F58</f>
        <v>0</v>
      </c>
      <c r="H58" s="383">
        <f>IF(B58=0,"",'Лист ожидания'!I58)</f>
      </c>
      <c r="I58" s="384">
        <f>'Лист ожидания'!D58</f>
        <v>0</v>
      </c>
      <c r="J58" s="385">
        <f>IF(B58=0,"",CONCATENATE("ОТ ",'Лист ожидания'!K58))</f>
      </c>
      <c r="K58" s="564"/>
      <c r="L58" s="565"/>
      <c r="M58" s="386">
        <f>IF(B58=0,"",Установка!$C$14)</f>
      </c>
      <c r="N58" s="387"/>
    </row>
    <row r="59" spans="1:14" ht="21" customHeight="1">
      <c r="A59" s="381">
        <v>48</v>
      </c>
      <c r="B59" s="566">
        <f>'Лист ожидания'!E59</f>
        <v>0</v>
      </c>
      <c r="C59" s="567"/>
      <c r="D59" s="568"/>
      <c r="E59" s="382">
        <f>'Лист ожидания'!G59</f>
        <v>0</v>
      </c>
      <c r="F59" s="383">
        <f>'Лист ожидания'!H59</f>
        <v>0</v>
      </c>
      <c r="G59" s="381">
        <f>'Лист ожидания'!F59</f>
        <v>0</v>
      </c>
      <c r="H59" s="383">
        <f>IF(B59=0,"",'Лист ожидания'!I59)</f>
      </c>
      <c r="I59" s="384">
        <f>'Лист ожидания'!D59</f>
        <v>0</v>
      </c>
      <c r="J59" s="385">
        <f>IF(B59=0,"",CONCATENATE("ОТ ",'Лист ожидания'!K59))</f>
      </c>
      <c r="K59" s="564"/>
      <c r="L59" s="565"/>
      <c r="M59" s="386">
        <f>IF(B59=0,"",Установка!$C$14)</f>
      </c>
      <c r="N59" s="387"/>
    </row>
    <row r="60" spans="1:14" ht="21" customHeight="1">
      <c r="A60" s="381">
        <v>49</v>
      </c>
      <c r="B60" s="566">
        <f>'Лист ожидания'!E60</f>
        <v>0</v>
      </c>
      <c r="C60" s="567"/>
      <c r="D60" s="568"/>
      <c r="E60" s="382">
        <f>'Лист ожидания'!G60</f>
        <v>0</v>
      </c>
      <c r="F60" s="383">
        <f>'Лист ожидания'!H60</f>
        <v>0</v>
      </c>
      <c r="G60" s="381">
        <f>'Лист ожидания'!F60</f>
        <v>0</v>
      </c>
      <c r="H60" s="383">
        <f>IF(B60=0,"",'Лист ожидания'!I60)</f>
      </c>
      <c r="I60" s="384">
        <f>'Лист ожидания'!D60</f>
        <v>0</v>
      </c>
      <c r="J60" s="385">
        <f>IF(B60=0,"",CONCATENATE("ОТ ",'Лист ожидания'!K60))</f>
      </c>
      <c r="K60" s="564"/>
      <c r="L60" s="565"/>
      <c r="M60" s="386">
        <f>IF(B60=0,"",Установка!$C$14)</f>
      </c>
      <c r="N60" s="387"/>
    </row>
    <row r="61" spans="1:14" ht="21" customHeight="1">
      <c r="A61" s="381">
        <v>50</v>
      </c>
      <c r="B61" s="566">
        <f>'Лист ожидания'!E61</f>
        <v>0</v>
      </c>
      <c r="C61" s="567"/>
      <c r="D61" s="568"/>
      <c r="E61" s="382">
        <f>'Лист ожидания'!G61</f>
        <v>0</v>
      </c>
      <c r="F61" s="383">
        <f>'Лист ожидания'!H61</f>
        <v>0</v>
      </c>
      <c r="G61" s="381">
        <f>'Лист ожидания'!F61</f>
        <v>0</v>
      </c>
      <c r="H61" s="383">
        <f>IF(B61=0,"",'Лист ожидания'!I61)</f>
      </c>
      <c r="I61" s="384">
        <f>'Лист ожидания'!D61</f>
        <v>0</v>
      </c>
      <c r="J61" s="385">
        <f>IF(B61=0,"",CONCATENATE("ОТ ",'Лист ожидания'!K61))</f>
      </c>
      <c r="K61" s="564"/>
      <c r="L61" s="565"/>
      <c r="M61" s="386">
        <f>IF(B61=0,"",Установка!$C$14)</f>
      </c>
      <c r="N61" s="387"/>
    </row>
    <row r="62" spans="1:14" ht="21" customHeight="1">
      <c r="A62" s="381">
        <v>51</v>
      </c>
      <c r="B62" s="566">
        <f>'Лист ожидания'!E62</f>
        <v>0</v>
      </c>
      <c r="C62" s="567"/>
      <c r="D62" s="568"/>
      <c r="E62" s="382">
        <f>'Лист ожидания'!G62</f>
        <v>0</v>
      </c>
      <c r="F62" s="383">
        <f>'Лист ожидания'!H62</f>
        <v>0</v>
      </c>
      <c r="G62" s="381">
        <f>'Лист ожидания'!F62</f>
        <v>0</v>
      </c>
      <c r="H62" s="383">
        <f>IF(B62=0,"",'Лист ожидания'!I62)</f>
      </c>
      <c r="I62" s="384">
        <f>'Лист ожидания'!D62</f>
        <v>0</v>
      </c>
      <c r="J62" s="385">
        <f>IF(B62=0,"",CONCATENATE("ОТ ",'Лист ожидания'!K62))</f>
      </c>
      <c r="K62" s="564"/>
      <c r="L62" s="565"/>
      <c r="M62" s="386">
        <f>IF(B62=0,"",Установка!$C$14)</f>
      </c>
      <c r="N62" s="387"/>
    </row>
    <row r="63" spans="1:14" ht="21" customHeight="1">
      <c r="A63" s="381">
        <v>52</v>
      </c>
      <c r="B63" s="566">
        <f>'Лист ожидания'!E63</f>
        <v>0</v>
      </c>
      <c r="C63" s="567"/>
      <c r="D63" s="568"/>
      <c r="E63" s="382">
        <f>'Лист ожидания'!G63</f>
        <v>0</v>
      </c>
      <c r="F63" s="383">
        <f>'Лист ожидания'!H63</f>
        <v>0</v>
      </c>
      <c r="G63" s="381">
        <f>'Лист ожидания'!F63</f>
        <v>0</v>
      </c>
      <c r="H63" s="383">
        <f>IF(B63=0,"",'Лист ожидания'!I63)</f>
      </c>
      <c r="I63" s="384">
        <f>'Лист ожидания'!D63</f>
        <v>0</v>
      </c>
      <c r="J63" s="385">
        <f>IF(B63=0,"",CONCATENATE("ОТ ",'Лист ожидания'!K63))</f>
      </c>
      <c r="K63" s="564"/>
      <c r="L63" s="565"/>
      <c r="M63" s="386">
        <f>IF(B63=0,"",Установка!$C$14)</f>
      </c>
      <c r="N63" s="387"/>
    </row>
    <row r="64" ht="7.5" customHeight="1"/>
    <row r="65" spans="1:12" s="6" customFormat="1" ht="15" customHeight="1">
      <c r="A65" s="28"/>
      <c r="C65" s="7"/>
      <c r="D65" s="42" t="s">
        <v>144</v>
      </c>
      <c r="E65" s="554"/>
      <c r="F65" s="554"/>
      <c r="G65" s="554"/>
      <c r="H65" s="554"/>
      <c r="I65" s="554"/>
      <c r="J65" s="554"/>
      <c r="K65" s="554"/>
      <c r="L65" s="2"/>
    </row>
    <row r="66" spans="1:12" s="6" customFormat="1" ht="10.5" customHeight="1">
      <c r="A66" s="28"/>
      <c r="C66" s="389"/>
      <c r="E66" s="577" t="s">
        <v>51</v>
      </c>
      <c r="F66" s="577"/>
      <c r="G66" s="577"/>
      <c r="H66" s="577"/>
      <c r="I66" s="577"/>
      <c r="J66" s="577"/>
      <c r="K66" s="577"/>
      <c r="L66" s="390"/>
    </row>
    <row r="67" spans="3:11" ht="15" customHeight="1">
      <c r="C67" s="117"/>
      <c r="D67" s="42" t="s">
        <v>2</v>
      </c>
      <c r="E67" s="579"/>
      <c r="F67" s="579"/>
      <c r="G67" s="391"/>
      <c r="H67" s="391"/>
      <c r="I67" s="391"/>
      <c r="J67" s="391"/>
      <c r="K67" s="392" t="str">
        <f>UPPER(Установка!C11)</f>
        <v>ГОРШЕНИН Э.А.</v>
      </c>
    </row>
    <row r="68" spans="3:11" ht="15" customHeight="1">
      <c r="C68" s="389"/>
      <c r="D68" s="389"/>
      <c r="E68" s="577" t="s">
        <v>145</v>
      </c>
      <c r="F68" s="577"/>
      <c r="G68" s="577"/>
      <c r="H68" s="577"/>
      <c r="I68" s="577"/>
      <c r="J68" s="577"/>
      <c r="K68" s="577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 sheet="1" objects="1" scenarios="1" selectLockedCells="1"/>
  <mergeCells count="117">
    <mergeCell ref="K43:L43"/>
    <mergeCell ref="K44:L44"/>
    <mergeCell ref="K49:L49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K12:L12"/>
    <mergeCell ref="B19:D19"/>
    <mergeCell ref="A3:N3"/>
    <mergeCell ref="A4:N4"/>
    <mergeCell ref="A6:N6"/>
    <mergeCell ref="D7:E7"/>
    <mergeCell ref="B12:D12"/>
    <mergeCell ref="A9:B9"/>
    <mergeCell ref="K11:L11"/>
    <mergeCell ref="A5:N5"/>
    <mergeCell ref="B22:D22"/>
    <mergeCell ref="B23:D23"/>
    <mergeCell ref="B24:D24"/>
    <mergeCell ref="B25:D25"/>
    <mergeCell ref="B11:D11"/>
    <mergeCell ref="B13:D13"/>
    <mergeCell ref="B14:D14"/>
    <mergeCell ref="B15:D15"/>
    <mergeCell ref="B52:D52"/>
    <mergeCell ref="B53:D53"/>
    <mergeCell ref="B54:D54"/>
    <mergeCell ref="B51:D51"/>
    <mergeCell ref="B16:D16"/>
    <mergeCell ref="B20:D20"/>
    <mergeCell ref="B21:D21"/>
    <mergeCell ref="B50:D50"/>
    <mergeCell ref="B17:D17"/>
    <mergeCell ref="B18:D18"/>
    <mergeCell ref="B55:D55"/>
    <mergeCell ref="E68:K68"/>
    <mergeCell ref="B59:D59"/>
    <mergeCell ref="B60:D60"/>
    <mergeCell ref="B61:D61"/>
    <mergeCell ref="B62:D62"/>
    <mergeCell ref="B63:D63"/>
    <mergeCell ref="E65:K65"/>
    <mergeCell ref="E66:K66"/>
    <mergeCell ref="K60:L60"/>
    <mergeCell ref="B56:D56"/>
    <mergeCell ref="B57:D57"/>
    <mergeCell ref="B58:D58"/>
    <mergeCell ref="K13:L13"/>
    <mergeCell ref="K14:L14"/>
    <mergeCell ref="K15:L15"/>
    <mergeCell ref="K16:L16"/>
    <mergeCell ref="K17:L17"/>
    <mergeCell ref="K18:L18"/>
    <mergeCell ref="K19:L19"/>
    <mergeCell ref="K20:L20"/>
    <mergeCell ref="K54:L54"/>
    <mergeCell ref="K21:L21"/>
    <mergeCell ref="K50:L50"/>
    <mergeCell ref="K51:L51"/>
    <mergeCell ref="K52:L52"/>
    <mergeCell ref="K53:L53"/>
    <mergeCell ref="K22:L22"/>
    <mergeCell ref="K23:L23"/>
    <mergeCell ref="K24:L24"/>
    <mergeCell ref="M7:N7"/>
    <mergeCell ref="E67:F67"/>
    <mergeCell ref="K61:L61"/>
    <mergeCell ref="K62:L62"/>
    <mergeCell ref="K63:L63"/>
    <mergeCell ref="K56:L56"/>
    <mergeCell ref="K57:L57"/>
    <mergeCell ref="K58:L58"/>
    <mergeCell ref="K59:L59"/>
    <mergeCell ref="K55:L55"/>
  </mergeCells>
  <printOptions horizontalCentered="1"/>
  <pageMargins left="0.15748031496062992" right="0.15748031496062992" top="0.15748031496062992" bottom="0.5" header="0.15748031496062992" footer="0.15"/>
  <pageSetup fitToHeight="2" fitToWidth="1" horizontalDpi="600" verticalDpi="600" orientation="landscape" paperSize="9" scale="63" r:id="rId3"/>
  <headerFooter alignWithMargins="0">
    <oddFooter>&amp;CСтраница &amp;P из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241"/>
  <sheetViews>
    <sheetView showGridLines="0" showRowColHeaders="0" zoomScale="85" zoomScaleNormal="85" zoomScalePageLayoutView="0" workbookViewId="0" topLeftCell="A1">
      <pane ySplit="7" topLeftCell="A8" activePane="bottomLeft" state="frozen"/>
      <selection pane="topLeft" activeCell="A5" sqref="A5:R5"/>
      <selection pane="bottomLeft" activeCell="D8" sqref="D8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44.75390625" style="0" customWidth="1"/>
    <col min="4" max="4" width="6.75390625" style="0" customWidth="1"/>
    <col min="5" max="5" width="10.75390625" style="0" customWidth="1"/>
    <col min="6" max="6" width="15.75390625" style="26" customWidth="1"/>
    <col min="7" max="7" width="8.75390625" style="26" customWidth="1"/>
    <col min="8" max="8" width="2.625" style="342" hidden="1" customWidth="1"/>
    <col min="9" max="12" width="3.00390625" style="188" hidden="1" customWidth="1"/>
    <col min="13" max="13" width="3.375" style="188" hidden="1" customWidth="1"/>
    <col min="14" max="14" width="10.25390625" style="188" hidden="1" customWidth="1"/>
    <col min="15" max="15" width="5.25390625" style="188" hidden="1" customWidth="1"/>
    <col min="16" max="16" width="5.00390625" style="189" hidden="1" customWidth="1"/>
    <col min="17" max="17" width="5.00390625" style="2" customWidth="1"/>
    <col min="18" max="18" width="5.375" style="0" customWidth="1"/>
    <col min="19" max="19" width="17.25390625" style="0" customWidth="1"/>
    <col min="25" max="25" width="8.375" style="188" hidden="1" customWidth="1"/>
    <col min="26" max="26" width="9.125" style="188" hidden="1" customWidth="1"/>
    <col min="27" max="27" width="18.875" style="188" hidden="1" customWidth="1"/>
    <col min="30" max="30" width="9.125" style="0" hidden="1" customWidth="1"/>
  </cols>
  <sheetData>
    <row r="1" spans="2:6" ht="12.75">
      <c r="B1" s="555" t="s">
        <v>84</v>
      </c>
      <c r="C1" s="555"/>
      <c r="D1" s="555"/>
      <c r="E1" s="555"/>
      <c r="F1" s="555"/>
    </row>
    <row r="2" spans="2:6" ht="28.5" customHeight="1">
      <c r="B2" s="556" t="str">
        <f>UPPER(Установка!C3)</f>
        <v>ТВД-ЛЕТНЕЕ ПЕРВЕНСТВО Г.КАЗАНИ</v>
      </c>
      <c r="C2" s="556"/>
      <c r="D2" s="556"/>
      <c r="E2" s="556"/>
      <c r="F2" s="556"/>
    </row>
    <row r="3" spans="2:27" ht="12.75">
      <c r="B3" s="557" t="s">
        <v>3</v>
      </c>
      <c r="C3" s="557"/>
      <c r="D3" s="557"/>
      <c r="E3" s="557"/>
      <c r="F3" s="557"/>
      <c r="AA3" s="521"/>
    </row>
    <row r="4" spans="3:27" ht="11.25" customHeight="1">
      <c r="C4" s="42" t="s">
        <v>1</v>
      </c>
      <c r="D4" s="554" t="str">
        <f>UPPER(Установка!C4)</f>
        <v>14 ЛЕТ И МОЛОЖЕ</v>
      </c>
      <c r="E4" s="554"/>
      <c r="F4" s="554"/>
      <c r="G4" s="307" t="str">
        <f>IF(Установка!C5="","Ю/Д/М/Ж",UPPER(Установка!C5))</f>
        <v>ДЕВУШКИ</v>
      </c>
      <c r="H4" s="358"/>
      <c r="AA4" s="521"/>
    </row>
    <row r="5" spans="3:8" ht="11.25" customHeight="1">
      <c r="C5" s="42"/>
      <c r="D5" s="2"/>
      <c r="E5" s="2"/>
      <c r="F5" s="2"/>
      <c r="G5" s="28"/>
      <c r="H5" s="358"/>
    </row>
    <row r="6" spans="5:7" ht="37.5" customHeight="1">
      <c r="E6" s="314"/>
      <c r="G6" s="315"/>
    </row>
    <row r="7" spans="1:17" ht="42" customHeight="1">
      <c r="A7" s="183" t="s">
        <v>16</v>
      </c>
      <c r="B7" s="183" t="s">
        <v>46</v>
      </c>
      <c r="C7" s="183" t="s">
        <v>43</v>
      </c>
      <c r="D7" s="183" t="s">
        <v>35</v>
      </c>
      <c r="E7" s="183" t="s">
        <v>45</v>
      </c>
      <c r="F7" s="183" t="s">
        <v>27</v>
      </c>
      <c r="G7" s="183" t="s">
        <v>44</v>
      </c>
      <c r="H7" s="359"/>
      <c r="P7" s="190" t="s">
        <v>64</v>
      </c>
      <c r="Q7" s="146"/>
    </row>
    <row r="8" spans="1:30" s="109" customFormat="1" ht="21" customHeight="1">
      <c r="A8" s="310">
        <f aca="true" t="shared" si="0" ref="A8:A23">ROW()-7</f>
        <v>1</v>
      </c>
      <c r="B8" s="185">
        <v>357</v>
      </c>
      <c r="C8" s="363" t="s">
        <v>166</v>
      </c>
      <c r="D8" s="185"/>
      <c r="E8" s="367"/>
      <c r="F8" s="185" t="s">
        <v>177</v>
      </c>
      <c r="G8" s="185"/>
      <c r="H8" s="362" t="s">
        <v>181</v>
      </c>
      <c r="I8" s="191">
        <f>LEN(C8)</f>
        <v>22</v>
      </c>
      <c r="J8" s="191">
        <f>IF((I8)=0,0,FIND(" ",C8))</f>
        <v>9</v>
      </c>
      <c r="K8" s="191" t="str">
        <f>IF(OR(ISERR(J8),I8=0),"",CONCATENATE(UPPER(MID(C8,J8+1,1)),"."))</f>
        <v>Д.</v>
      </c>
      <c r="L8" s="191">
        <f>IF(LEN(C8)=0,0,FIND(" ",C8,J8+1))</f>
        <v>14</v>
      </c>
      <c r="M8" s="191" t="str">
        <f>IF(OR(I8=0,ISERR(L8)),"",CONCATENATE(MID(C8,L8+1,1),"."))</f>
        <v>Э.</v>
      </c>
      <c r="N8" s="191" t="str">
        <f>IF(C8="","",IF(ISERR(J8),UPPER(C8),UPPER(MID(C8,1,J8-1))))</f>
        <v>ШАКИРОВА</v>
      </c>
      <c r="O8" s="191" t="str">
        <f>CONCATENATE(K8,M8)</f>
        <v>Д.Э.</v>
      </c>
      <c r="P8" s="192" t="str">
        <f>UPPER(IF(AND(A8&lt;=$A$50,B8&lt;&gt;0,AD8),CONCATENATE(A8," ",G8),G8))</f>
        <v>1 </v>
      </c>
      <c r="Q8" s="12"/>
      <c r="Y8" s="191" t="str">
        <f>IF(C8="","",IF(ISERR(J8),"",IF(ISERR(L8),UPPER(MID(C8,J8,I8-J8+1)),UPPER(MID(C8,J8,L8-J8)))))</f>
        <v> ДАНА</v>
      </c>
      <c r="Z8" s="357">
        <f aca="true" t="shared" si="1" ref="Z8:Z23">IF(N8="",0,COUNTIF($N$8:$N$23,N8))</f>
        <v>1</v>
      </c>
      <c r="AA8" s="191" t="str">
        <f>IF(Z8&gt;1,CONCATENATE(N8,Y8),N8)</f>
        <v>ШАКИРОВА</v>
      </c>
      <c r="AD8" s="362" t="b">
        <v>1</v>
      </c>
    </row>
    <row r="9" spans="1:30" s="109" customFormat="1" ht="21" customHeight="1">
      <c r="A9" s="310">
        <f t="shared" si="0"/>
        <v>2</v>
      </c>
      <c r="B9" s="185">
        <v>235</v>
      </c>
      <c r="C9" s="363" t="s">
        <v>167</v>
      </c>
      <c r="D9" s="185"/>
      <c r="E9" s="367"/>
      <c r="F9" s="185" t="s">
        <v>178</v>
      </c>
      <c r="G9" s="185"/>
      <c r="H9" s="362" t="s">
        <v>181</v>
      </c>
      <c r="I9" s="191">
        <f aca="true" t="shared" si="2" ref="I9:I23">LEN(C9)</f>
        <v>23</v>
      </c>
      <c r="J9" s="191">
        <f aca="true" t="shared" si="3" ref="J9:J23">IF((I9)=0,0,FIND(" ",C9))</f>
        <v>9</v>
      </c>
      <c r="K9" s="191" t="str">
        <f>IF(OR(ISERR(J9),I9=0),"",CONCATENATE(UPPER(MID(C9,J9+1,1)),"."))</f>
        <v>З.</v>
      </c>
      <c r="L9" s="191">
        <f aca="true" t="shared" si="4" ref="L9:L23">IF(LEN(C9)=0,0,FIND(" ",C9,J9+1))</f>
        <v>15</v>
      </c>
      <c r="M9" s="191" t="str">
        <f aca="true" t="shared" si="5" ref="M9:M23">IF(OR(I9=0,ISERR(L9)),"",CONCATENATE(MID(C9,L9+1,1),"."))</f>
        <v>М.</v>
      </c>
      <c r="N9" s="191" t="str">
        <f aca="true" t="shared" si="6" ref="N9:N23">IF(C9="","",IF(ISERR(J9),UPPER(C9),UPPER(MID(C9,1,J9-1))))</f>
        <v>САМИТОВА</v>
      </c>
      <c r="O9" s="191" t="str">
        <f aca="true" t="shared" si="7" ref="O9:O23">CONCATENATE(K9,M9)</f>
        <v>З.М.</v>
      </c>
      <c r="P9" s="192" t="str">
        <f aca="true" t="shared" si="8" ref="P9:P23">UPPER(IF(AND(A9&lt;=$A$50,B9&lt;&gt;0,AD9),CONCATENATE(A9," ",G9),G9))</f>
        <v>2 </v>
      </c>
      <c r="Q9" s="12"/>
      <c r="Y9" s="191" t="str">
        <f aca="true" t="shared" si="9" ref="Y9:Y23">IF(C9="","",IF(ISERR(J9),"",IF(ISERR(L9),UPPER(MID(C9,J9,I9-J9+1)),UPPER(MID(C9,J9,L9-J9)))))</f>
        <v> ЗУХРА</v>
      </c>
      <c r="Z9" s="357">
        <f t="shared" si="1"/>
        <v>1</v>
      </c>
      <c r="AA9" s="191" t="str">
        <f aca="true" t="shared" si="10" ref="AA9:AA24">IF(Z9&gt;1,CONCATENATE(N9,Y9),N9)</f>
        <v>САМИТОВА</v>
      </c>
      <c r="AD9" s="362" t="b">
        <v>1</v>
      </c>
    </row>
    <row r="10" spans="1:30" s="109" customFormat="1" ht="21" customHeight="1">
      <c r="A10" s="184">
        <f t="shared" si="0"/>
        <v>3</v>
      </c>
      <c r="B10" s="185">
        <v>221</v>
      </c>
      <c r="C10" s="363" t="s">
        <v>168</v>
      </c>
      <c r="D10" s="185"/>
      <c r="E10" s="367"/>
      <c r="F10" s="185" t="s">
        <v>179</v>
      </c>
      <c r="G10" s="185"/>
      <c r="H10" s="362" t="s">
        <v>181</v>
      </c>
      <c r="I10" s="191">
        <f t="shared" si="2"/>
        <v>26</v>
      </c>
      <c r="J10" s="191">
        <f t="shared" si="3"/>
        <v>10</v>
      </c>
      <c r="K10" s="191" t="str">
        <f aca="true" t="shared" si="11" ref="K10:K23">IF(OR(ISERR(J10),I10=0),"",CONCATENATE(UPPER(MID(C10,J10+1,1)),"."))</f>
        <v>А.</v>
      </c>
      <c r="L10" s="191">
        <f t="shared" si="4"/>
        <v>16</v>
      </c>
      <c r="M10" s="191" t="str">
        <f t="shared" si="5"/>
        <v>Р.</v>
      </c>
      <c r="N10" s="191" t="str">
        <f t="shared" si="6"/>
        <v>МИФТАХОВА</v>
      </c>
      <c r="O10" s="191" t="str">
        <f t="shared" si="7"/>
        <v>А.Р.</v>
      </c>
      <c r="P10" s="192" t="str">
        <f t="shared" si="8"/>
        <v>3 </v>
      </c>
      <c r="Q10" s="12"/>
      <c r="Y10" s="191" t="str">
        <f t="shared" si="9"/>
        <v> АРИНА</v>
      </c>
      <c r="Z10" s="357">
        <f t="shared" si="1"/>
        <v>1</v>
      </c>
      <c r="AA10" s="191" t="str">
        <f t="shared" si="10"/>
        <v>МИФТАХОВА</v>
      </c>
      <c r="AD10" s="362" t="b">
        <v>1</v>
      </c>
    </row>
    <row r="11" spans="1:30" s="109" customFormat="1" ht="21" customHeight="1">
      <c r="A11" s="184">
        <f t="shared" si="0"/>
        <v>4</v>
      </c>
      <c r="B11" s="185">
        <v>143</v>
      </c>
      <c r="C11" s="363" t="s">
        <v>169</v>
      </c>
      <c r="D11" s="185"/>
      <c r="E11" s="367"/>
      <c r="F11" s="185" t="s">
        <v>177</v>
      </c>
      <c r="G11" s="185"/>
      <c r="H11" s="362" t="s">
        <v>181</v>
      </c>
      <c r="I11" s="191">
        <f t="shared" si="2"/>
        <v>33</v>
      </c>
      <c r="J11" s="191">
        <f t="shared" si="3"/>
        <v>10</v>
      </c>
      <c r="K11" s="191" t="str">
        <f t="shared" si="11"/>
        <v>А.</v>
      </c>
      <c r="L11" s="191">
        <f t="shared" si="4"/>
        <v>20</v>
      </c>
      <c r="M11" s="191" t="str">
        <f t="shared" si="5"/>
        <v>А.</v>
      </c>
      <c r="N11" s="191" t="str">
        <f t="shared" si="6"/>
        <v>КУЗНЕЦОВА</v>
      </c>
      <c r="O11" s="191" t="str">
        <f t="shared" si="7"/>
        <v>А.А.</v>
      </c>
      <c r="P11" s="192" t="str">
        <f t="shared" si="8"/>
        <v>4 </v>
      </c>
      <c r="Q11" s="12"/>
      <c r="Y11" s="191" t="str">
        <f t="shared" si="9"/>
        <v> АНАСТАСИЯ</v>
      </c>
      <c r="Z11" s="357">
        <f t="shared" si="1"/>
        <v>1</v>
      </c>
      <c r="AA11" s="191" t="str">
        <f t="shared" si="10"/>
        <v>КУЗНЕЦОВА</v>
      </c>
      <c r="AD11" s="362" t="b">
        <v>1</v>
      </c>
    </row>
    <row r="12" spans="1:30" s="109" customFormat="1" ht="21" customHeight="1">
      <c r="A12" s="184">
        <f t="shared" si="0"/>
        <v>5</v>
      </c>
      <c r="B12" s="185">
        <v>91</v>
      </c>
      <c r="C12" s="363" t="s">
        <v>170</v>
      </c>
      <c r="D12" s="185"/>
      <c r="E12" s="367"/>
      <c r="F12" s="185" t="s">
        <v>177</v>
      </c>
      <c r="G12" s="185"/>
      <c r="H12" s="362" t="s">
        <v>181</v>
      </c>
      <c r="I12" s="191">
        <f t="shared" si="2"/>
        <v>28</v>
      </c>
      <c r="J12" s="191">
        <f t="shared" si="3"/>
        <v>9</v>
      </c>
      <c r="K12" s="191" t="str">
        <f t="shared" si="11"/>
        <v>Е.</v>
      </c>
      <c r="L12" s="191">
        <f t="shared" si="4"/>
        <v>19</v>
      </c>
      <c r="M12" s="191" t="str">
        <f t="shared" si="5"/>
        <v>А.</v>
      </c>
      <c r="N12" s="191" t="str">
        <f t="shared" si="6"/>
        <v>МАТВЕЕВА</v>
      </c>
      <c r="O12" s="191" t="str">
        <f t="shared" si="7"/>
        <v>Е.А.</v>
      </c>
      <c r="P12" s="192">
        <f t="shared" si="8"/>
      </c>
      <c r="Q12" s="12"/>
      <c r="Y12" s="191" t="str">
        <f t="shared" si="9"/>
        <v> ЕЛИЗАВЕТА</v>
      </c>
      <c r="Z12" s="357">
        <f t="shared" si="1"/>
        <v>1</v>
      </c>
      <c r="AA12" s="191" t="str">
        <f t="shared" si="10"/>
        <v>МАТВЕЕВА</v>
      </c>
      <c r="AD12" s="362" t="b">
        <v>1</v>
      </c>
    </row>
    <row r="13" spans="1:30" s="109" customFormat="1" ht="21" customHeight="1">
      <c r="A13" s="184">
        <f t="shared" si="0"/>
        <v>6</v>
      </c>
      <c r="B13" s="185">
        <v>54</v>
      </c>
      <c r="C13" s="363" t="s">
        <v>171</v>
      </c>
      <c r="D13" s="185"/>
      <c r="E13" s="367"/>
      <c r="F13" s="185" t="s">
        <v>177</v>
      </c>
      <c r="G13" s="185"/>
      <c r="H13" s="362" t="s">
        <v>181</v>
      </c>
      <c r="I13" s="191">
        <f t="shared" si="2"/>
        <v>29</v>
      </c>
      <c r="J13" s="191">
        <f t="shared" si="3"/>
        <v>13</v>
      </c>
      <c r="K13" s="191" t="str">
        <f t="shared" si="11"/>
        <v>Э.</v>
      </c>
      <c r="L13" s="191">
        <f t="shared" si="4"/>
        <v>19</v>
      </c>
      <c r="M13" s="191" t="str">
        <f t="shared" si="5"/>
        <v>Э.</v>
      </c>
      <c r="N13" s="191" t="str">
        <f t="shared" si="6"/>
        <v>СУНГАТУЛЛИНА</v>
      </c>
      <c r="O13" s="191" t="str">
        <f t="shared" si="7"/>
        <v>Э.Э.</v>
      </c>
      <c r="P13" s="192">
        <f t="shared" si="8"/>
      </c>
      <c r="Q13" s="12"/>
      <c r="Y13" s="191" t="str">
        <f t="shared" si="9"/>
        <v> ЭЛИНА</v>
      </c>
      <c r="Z13" s="357">
        <f t="shared" si="1"/>
        <v>1</v>
      </c>
      <c r="AA13" s="191" t="str">
        <f t="shared" si="10"/>
        <v>СУНГАТУЛЛИНА</v>
      </c>
      <c r="AD13" s="362" t="b">
        <v>1</v>
      </c>
    </row>
    <row r="14" spans="1:30" s="109" customFormat="1" ht="21" customHeight="1">
      <c r="A14" s="184">
        <f t="shared" si="0"/>
        <v>7</v>
      </c>
      <c r="B14" s="185">
        <v>49</v>
      </c>
      <c r="C14" s="363" t="s">
        <v>172</v>
      </c>
      <c r="D14" s="185"/>
      <c r="E14" s="367"/>
      <c r="F14" s="185" t="s">
        <v>177</v>
      </c>
      <c r="G14" s="185"/>
      <c r="H14" s="362" t="s">
        <v>181</v>
      </c>
      <c r="I14" s="191">
        <f t="shared" si="2"/>
        <v>28</v>
      </c>
      <c r="J14" s="191">
        <f t="shared" si="3"/>
        <v>9</v>
      </c>
      <c r="K14" s="191" t="str">
        <f t="shared" si="11"/>
        <v>А.</v>
      </c>
      <c r="L14" s="191">
        <f t="shared" si="4"/>
        <v>15</v>
      </c>
      <c r="M14" s="191" t="str">
        <f t="shared" si="5"/>
        <v>А.</v>
      </c>
      <c r="N14" s="191" t="str">
        <f t="shared" si="6"/>
        <v>МАКАРОВА</v>
      </c>
      <c r="O14" s="191" t="str">
        <f t="shared" si="7"/>
        <v>А.А.</v>
      </c>
      <c r="P14" s="192">
        <f t="shared" si="8"/>
      </c>
      <c r="Q14" s="12"/>
      <c r="Y14" s="191" t="str">
        <f t="shared" si="9"/>
        <v> АЛИСА</v>
      </c>
      <c r="Z14" s="357">
        <f t="shared" si="1"/>
        <v>1</v>
      </c>
      <c r="AA14" s="191" t="str">
        <f t="shared" si="10"/>
        <v>МАКАРОВА</v>
      </c>
      <c r="AD14" s="362" t="b">
        <v>1</v>
      </c>
    </row>
    <row r="15" spans="1:30" s="109" customFormat="1" ht="21" customHeight="1">
      <c r="A15" s="184">
        <f t="shared" si="0"/>
        <v>8</v>
      </c>
      <c r="B15" s="185">
        <v>48</v>
      </c>
      <c r="C15" s="363" t="s">
        <v>173</v>
      </c>
      <c r="D15" s="185"/>
      <c r="E15" s="367"/>
      <c r="F15" s="185" t="s">
        <v>177</v>
      </c>
      <c r="G15" s="185"/>
      <c r="H15" s="362" t="s">
        <v>181</v>
      </c>
      <c r="I15" s="191">
        <f t="shared" si="2"/>
        <v>23</v>
      </c>
      <c r="J15" s="191">
        <f t="shared" si="3"/>
        <v>8</v>
      </c>
      <c r="K15" s="191" t="str">
        <f t="shared" si="11"/>
        <v>Д.</v>
      </c>
      <c r="L15" s="191">
        <f t="shared" si="4"/>
        <v>14</v>
      </c>
      <c r="M15" s="191" t="str">
        <f t="shared" si="5"/>
        <v>Д.</v>
      </c>
      <c r="N15" s="191" t="str">
        <f t="shared" si="6"/>
        <v>ЕВСЕЕВА</v>
      </c>
      <c r="O15" s="191" t="str">
        <f t="shared" si="7"/>
        <v>Д.Д.</v>
      </c>
      <c r="P15" s="192">
        <f t="shared" si="8"/>
      </c>
      <c r="Q15" s="12"/>
      <c r="Y15" s="191" t="str">
        <f t="shared" si="9"/>
        <v> ДИАНА</v>
      </c>
      <c r="Z15" s="357">
        <f t="shared" si="1"/>
        <v>1</v>
      </c>
      <c r="AA15" s="191" t="str">
        <f t="shared" si="10"/>
        <v>ЕВСЕЕВА</v>
      </c>
      <c r="AD15" s="362" t="b">
        <v>1</v>
      </c>
    </row>
    <row r="16" spans="1:30" s="109" customFormat="1" ht="21" customHeight="1">
      <c r="A16" s="184">
        <f t="shared" si="0"/>
        <v>9</v>
      </c>
      <c r="B16" s="185">
        <v>37</v>
      </c>
      <c r="C16" s="363" t="s">
        <v>174</v>
      </c>
      <c r="D16" s="185"/>
      <c r="E16" s="367"/>
      <c r="F16" s="185" t="s">
        <v>177</v>
      </c>
      <c r="G16" s="185"/>
      <c r="H16" s="362" t="s">
        <v>181</v>
      </c>
      <c r="I16" s="191">
        <f t="shared" si="2"/>
        <v>23</v>
      </c>
      <c r="J16" s="191">
        <f t="shared" si="3"/>
        <v>9</v>
      </c>
      <c r="K16" s="191" t="str">
        <f t="shared" si="11"/>
        <v>Л.</v>
      </c>
      <c r="L16" s="191">
        <f t="shared" si="4"/>
        <v>14</v>
      </c>
      <c r="M16" s="191" t="str">
        <f t="shared" si="5"/>
        <v>С.</v>
      </c>
      <c r="N16" s="191" t="str">
        <f t="shared" si="6"/>
        <v>ШИМАРИНА</v>
      </c>
      <c r="O16" s="191" t="str">
        <f t="shared" si="7"/>
        <v>Л.С.</v>
      </c>
      <c r="P16" s="192">
        <f t="shared" si="8"/>
      </c>
      <c r="Q16" s="12"/>
      <c r="Y16" s="191" t="str">
        <f t="shared" si="9"/>
        <v> ЛАДА</v>
      </c>
      <c r="Z16" s="357">
        <f t="shared" si="1"/>
        <v>1</v>
      </c>
      <c r="AA16" s="191" t="str">
        <f t="shared" si="10"/>
        <v>ШИМАРИНА</v>
      </c>
      <c r="AD16" s="362" t="b">
        <v>1</v>
      </c>
    </row>
    <row r="17" spans="1:30" s="109" customFormat="1" ht="21" customHeight="1">
      <c r="A17" s="184">
        <f t="shared" si="0"/>
        <v>10</v>
      </c>
      <c r="B17" s="185">
        <v>34</v>
      </c>
      <c r="C17" s="363" t="s">
        <v>175</v>
      </c>
      <c r="D17" s="185"/>
      <c r="E17" s="367"/>
      <c r="F17" s="185" t="s">
        <v>177</v>
      </c>
      <c r="G17" s="185"/>
      <c r="H17" s="362" t="s">
        <v>181</v>
      </c>
      <c r="I17" s="191">
        <f t="shared" si="2"/>
        <v>29</v>
      </c>
      <c r="J17" s="191">
        <f t="shared" si="3"/>
        <v>13</v>
      </c>
      <c r="K17" s="191" t="str">
        <f t="shared" si="11"/>
        <v>Д.</v>
      </c>
      <c r="L17" s="191">
        <f t="shared" si="4"/>
        <v>19</v>
      </c>
      <c r="M17" s="191" t="str">
        <f t="shared" si="5"/>
        <v>И.</v>
      </c>
      <c r="N17" s="191" t="str">
        <f t="shared" si="6"/>
        <v>НИГМЕДЗЯНОВА</v>
      </c>
      <c r="O17" s="191" t="str">
        <f t="shared" si="7"/>
        <v>Д.И.</v>
      </c>
      <c r="P17" s="192">
        <f t="shared" si="8"/>
      </c>
      <c r="Q17" s="12"/>
      <c r="Y17" s="191" t="str">
        <f t="shared" si="9"/>
        <v> ДИАНА</v>
      </c>
      <c r="Z17" s="357">
        <f t="shared" si="1"/>
        <v>1</v>
      </c>
      <c r="AA17" s="191" t="str">
        <f t="shared" si="10"/>
        <v>НИГМЕДЗЯНОВА</v>
      </c>
      <c r="AD17" s="362" t="b">
        <v>1</v>
      </c>
    </row>
    <row r="18" spans="1:30" s="109" customFormat="1" ht="21" customHeight="1">
      <c r="A18" s="184">
        <f t="shared" si="0"/>
        <v>11</v>
      </c>
      <c r="B18" s="185">
        <v>0</v>
      </c>
      <c r="C18" s="363" t="s">
        <v>176</v>
      </c>
      <c r="D18" s="185"/>
      <c r="E18" s="367"/>
      <c r="F18" s="185" t="s">
        <v>180</v>
      </c>
      <c r="G18" s="185"/>
      <c r="H18" s="362" t="s">
        <v>181</v>
      </c>
      <c r="I18" s="191">
        <f t="shared" si="2"/>
        <v>25</v>
      </c>
      <c r="J18" s="191">
        <f t="shared" si="3"/>
        <v>10</v>
      </c>
      <c r="K18" s="191" t="str">
        <f t="shared" si="11"/>
        <v>О.</v>
      </c>
      <c r="L18" s="191">
        <f t="shared" si="4"/>
        <v>16</v>
      </c>
      <c r="M18" s="191" t="str">
        <f t="shared" si="5"/>
        <v>С.</v>
      </c>
      <c r="N18" s="191" t="str">
        <f t="shared" si="6"/>
        <v>МАКСИМОВА</v>
      </c>
      <c r="O18" s="191" t="str">
        <f t="shared" si="7"/>
        <v>О.С.</v>
      </c>
      <c r="P18" s="192">
        <f t="shared" si="8"/>
      </c>
      <c r="Q18" s="12"/>
      <c r="Y18" s="191" t="str">
        <f t="shared" si="9"/>
        <v> ОЛЬГА</v>
      </c>
      <c r="Z18" s="357">
        <f t="shared" si="1"/>
        <v>1</v>
      </c>
      <c r="AA18" s="191" t="str">
        <f t="shared" si="10"/>
        <v>МАКСИМОВА</v>
      </c>
      <c r="AD18" s="362" t="b">
        <v>1</v>
      </c>
    </row>
    <row r="19" spans="1:30" s="109" customFormat="1" ht="21" customHeight="1">
      <c r="A19" s="184">
        <f t="shared" si="0"/>
        <v>12</v>
      </c>
      <c r="B19" s="185"/>
      <c r="C19" s="363" t="s">
        <v>181</v>
      </c>
      <c r="D19" s="185"/>
      <c r="E19" s="367"/>
      <c r="F19" s="185"/>
      <c r="G19" s="185"/>
      <c r="H19" s="362"/>
      <c r="I19" s="191">
        <f t="shared" si="2"/>
        <v>1</v>
      </c>
      <c r="J19" s="191" t="e">
        <f t="shared" si="3"/>
        <v>#VALUE!</v>
      </c>
      <c r="K19" s="191">
        <f t="shared" si="11"/>
      </c>
      <c r="L19" s="191" t="e">
        <f t="shared" si="4"/>
        <v>#VALUE!</v>
      </c>
      <c r="M19" s="191">
        <f t="shared" si="5"/>
      </c>
      <c r="N19" s="191" t="str">
        <f t="shared" si="6"/>
        <v>Х</v>
      </c>
      <c r="O19" s="191">
        <f t="shared" si="7"/>
      </c>
      <c r="P19" s="192">
        <f t="shared" si="8"/>
      </c>
      <c r="Q19" s="12"/>
      <c r="Y19" s="191">
        <f t="shared" si="9"/>
      </c>
      <c r="Z19" s="357">
        <f t="shared" si="1"/>
        <v>5</v>
      </c>
      <c r="AA19" s="191" t="str">
        <f t="shared" si="10"/>
        <v>Х</v>
      </c>
      <c r="AD19" s="362" t="b">
        <v>1</v>
      </c>
    </row>
    <row r="20" spans="1:30" s="109" customFormat="1" ht="21" customHeight="1">
      <c r="A20" s="184">
        <f t="shared" si="0"/>
        <v>13</v>
      </c>
      <c r="B20" s="185"/>
      <c r="C20" s="363" t="s">
        <v>181</v>
      </c>
      <c r="D20" s="185"/>
      <c r="E20" s="367"/>
      <c r="F20" s="185"/>
      <c r="G20" s="185"/>
      <c r="H20" s="362"/>
      <c r="I20" s="191">
        <f t="shared" si="2"/>
        <v>1</v>
      </c>
      <c r="J20" s="191" t="e">
        <f t="shared" si="3"/>
        <v>#VALUE!</v>
      </c>
      <c r="K20" s="191">
        <f t="shared" si="11"/>
      </c>
      <c r="L20" s="191" t="e">
        <f t="shared" si="4"/>
        <v>#VALUE!</v>
      </c>
      <c r="M20" s="191">
        <f t="shared" si="5"/>
      </c>
      <c r="N20" s="191" t="str">
        <f t="shared" si="6"/>
        <v>Х</v>
      </c>
      <c r="O20" s="191">
        <f t="shared" si="7"/>
      </c>
      <c r="P20" s="192">
        <f t="shared" si="8"/>
      </c>
      <c r="Q20" s="12"/>
      <c r="Y20" s="191">
        <f t="shared" si="9"/>
      </c>
      <c r="Z20" s="357">
        <f t="shared" si="1"/>
        <v>5</v>
      </c>
      <c r="AA20" s="191" t="str">
        <f t="shared" si="10"/>
        <v>Х</v>
      </c>
      <c r="AD20" s="362" t="b">
        <v>1</v>
      </c>
    </row>
    <row r="21" spans="1:30" s="109" customFormat="1" ht="21" customHeight="1">
      <c r="A21" s="184">
        <f t="shared" si="0"/>
        <v>14</v>
      </c>
      <c r="B21" s="185"/>
      <c r="C21" s="363" t="s">
        <v>181</v>
      </c>
      <c r="D21" s="185"/>
      <c r="E21" s="367"/>
      <c r="F21" s="185"/>
      <c r="G21" s="185"/>
      <c r="H21" s="362"/>
      <c r="I21" s="191">
        <f t="shared" si="2"/>
        <v>1</v>
      </c>
      <c r="J21" s="191" t="e">
        <f t="shared" si="3"/>
        <v>#VALUE!</v>
      </c>
      <c r="K21" s="191">
        <f t="shared" si="11"/>
      </c>
      <c r="L21" s="191" t="e">
        <f t="shared" si="4"/>
        <v>#VALUE!</v>
      </c>
      <c r="M21" s="191">
        <f t="shared" si="5"/>
      </c>
      <c r="N21" s="191" t="str">
        <f t="shared" si="6"/>
        <v>Х</v>
      </c>
      <c r="O21" s="191">
        <f t="shared" si="7"/>
      </c>
      <c r="P21" s="192">
        <f t="shared" si="8"/>
      </c>
      <c r="Q21" s="12"/>
      <c r="Y21" s="191">
        <f t="shared" si="9"/>
      </c>
      <c r="Z21" s="357">
        <f t="shared" si="1"/>
        <v>5</v>
      </c>
      <c r="AA21" s="191" t="str">
        <f t="shared" si="10"/>
        <v>Х</v>
      </c>
      <c r="AD21" s="362" t="b">
        <v>1</v>
      </c>
    </row>
    <row r="22" spans="1:30" s="109" customFormat="1" ht="21" customHeight="1">
      <c r="A22" s="184">
        <f t="shared" si="0"/>
        <v>15</v>
      </c>
      <c r="B22" s="185"/>
      <c r="C22" s="363" t="s">
        <v>181</v>
      </c>
      <c r="D22" s="185"/>
      <c r="E22" s="367"/>
      <c r="F22" s="185"/>
      <c r="G22" s="185"/>
      <c r="H22" s="362"/>
      <c r="I22" s="191">
        <f t="shared" si="2"/>
        <v>1</v>
      </c>
      <c r="J22" s="191" t="e">
        <f t="shared" si="3"/>
        <v>#VALUE!</v>
      </c>
      <c r="K22" s="191">
        <f t="shared" si="11"/>
      </c>
      <c r="L22" s="191" t="e">
        <f t="shared" si="4"/>
        <v>#VALUE!</v>
      </c>
      <c r="M22" s="191">
        <f t="shared" si="5"/>
      </c>
      <c r="N22" s="191" t="str">
        <f t="shared" si="6"/>
        <v>Х</v>
      </c>
      <c r="O22" s="191">
        <f t="shared" si="7"/>
      </c>
      <c r="P22" s="192">
        <f t="shared" si="8"/>
      </c>
      <c r="Q22" s="12"/>
      <c r="Y22" s="191">
        <f t="shared" si="9"/>
      </c>
      <c r="Z22" s="357">
        <f t="shared" si="1"/>
        <v>5</v>
      </c>
      <c r="AA22" s="191" t="str">
        <f t="shared" si="10"/>
        <v>Х</v>
      </c>
      <c r="AD22" s="362" t="b">
        <v>1</v>
      </c>
    </row>
    <row r="23" spans="1:30" s="109" customFormat="1" ht="21" customHeight="1">
      <c r="A23" s="184">
        <f t="shared" si="0"/>
        <v>16</v>
      </c>
      <c r="B23" s="185"/>
      <c r="C23" s="363" t="s">
        <v>181</v>
      </c>
      <c r="D23" s="185"/>
      <c r="E23" s="367"/>
      <c r="F23" s="185"/>
      <c r="G23" s="185"/>
      <c r="H23" s="362"/>
      <c r="I23" s="191">
        <f t="shared" si="2"/>
        <v>1</v>
      </c>
      <c r="J23" s="191" t="e">
        <f t="shared" si="3"/>
        <v>#VALUE!</v>
      </c>
      <c r="K23" s="191">
        <f t="shared" si="11"/>
      </c>
      <c r="L23" s="191" t="e">
        <f t="shared" si="4"/>
        <v>#VALUE!</v>
      </c>
      <c r="M23" s="191">
        <f t="shared" si="5"/>
      </c>
      <c r="N23" s="191" t="str">
        <f t="shared" si="6"/>
        <v>Х</v>
      </c>
      <c r="O23" s="191">
        <f t="shared" si="7"/>
      </c>
      <c r="P23" s="192">
        <f t="shared" si="8"/>
      </c>
      <c r="Q23" s="12"/>
      <c r="Y23" s="191">
        <f t="shared" si="9"/>
      </c>
      <c r="Z23" s="357">
        <f t="shared" si="1"/>
        <v>5</v>
      </c>
      <c r="AA23" s="191" t="str">
        <f t="shared" si="10"/>
        <v>Х</v>
      </c>
      <c r="AD23" s="362" t="b">
        <v>1</v>
      </c>
    </row>
    <row r="24" spans="1:27" s="364" customFormat="1" ht="15">
      <c r="A24" s="365"/>
      <c r="B24" s="522"/>
      <c r="C24" s="523"/>
      <c r="D24" s="522"/>
      <c r="E24" s="522"/>
      <c r="F24" s="522"/>
      <c r="G24" s="522"/>
      <c r="H24" s="365"/>
      <c r="I24" s="365"/>
      <c r="J24" s="365"/>
      <c r="K24" s="365"/>
      <c r="L24" s="365"/>
      <c r="M24" s="365"/>
      <c r="N24" s="365"/>
      <c r="O24" s="365"/>
      <c r="P24" s="524"/>
      <c r="Q24" s="525"/>
      <c r="R24" s="365"/>
      <c r="S24" s="365"/>
      <c r="AA24" s="366">
        <f t="shared" si="10"/>
        <v>0</v>
      </c>
    </row>
    <row r="25" spans="1:27" s="364" customFormat="1" ht="15">
      <c r="A25" s="365"/>
      <c r="B25" s="524"/>
      <c r="C25" s="526"/>
      <c r="D25" s="524"/>
      <c r="E25" s="524"/>
      <c r="F25" s="524"/>
      <c r="G25" s="524"/>
      <c r="H25" s="365"/>
      <c r="I25" s="365"/>
      <c r="J25" s="365"/>
      <c r="K25" s="365"/>
      <c r="L25" s="365"/>
      <c r="M25" s="365"/>
      <c r="N25" s="365"/>
      <c r="O25" s="365"/>
      <c r="P25" s="524"/>
      <c r="Q25" s="525"/>
      <c r="R25" s="365"/>
      <c r="S25" s="365"/>
      <c r="AA25" s="366"/>
    </row>
    <row r="26" spans="1:27" s="364" customFormat="1" ht="15">
      <c r="A26" s="365"/>
      <c r="B26" s="524"/>
      <c r="C26" s="526"/>
      <c r="D26" s="524"/>
      <c r="E26" s="524"/>
      <c r="F26" s="524"/>
      <c r="G26" s="524"/>
      <c r="H26" s="365"/>
      <c r="I26" s="365"/>
      <c r="J26" s="365"/>
      <c r="K26" s="365"/>
      <c r="L26" s="365"/>
      <c r="M26" s="365"/>
      <c r="N26" s="365"/>
      <c r="O26" s="365"/>
      <c r="P26" s="524"/>
      <c r="Q26" s="525"/>
      <c r="R26" s="365"/>
      <c r="S26" s="365"/>
      <c r="AA26" s="366"/>
    </row>
    <row r="27" spans="1:27" s="364" customFormat="1" ht="15">
      <c r="A27" s="365"/>
      <c r="B27" s="524"/>
      <c r="C27" s="526"/>
      <c r="D27" s="524"/>
      <c r="E27" s="524"/>
      <c r="F27" s="524"/>
      <c r="G27" s="524"/>
      <c r="H27" s="365"/>
      <c r="I27" s="365"/>
      <c r="J27" s="365"/>
      <c r="K27" s="365"/>
      <c r="L27" s="365"/>
      <c r="M27" s="365"/>
      <c r="N27" s="365"/>
      <c r="O27" s="365"/>
      <c r="P27" s="524"/>
      <c r="Q27" s="525"/>
      <c r="R27" s="365"/>
      <c r="S27" s="365"/>
      <c r="AA27" s="366"/>
    </row>
    <row r="28" spans="1:27" s="364" customFormat="1" ht="15">
      <c r="A28" s="365"/>
      <c r="B28" s="524"/>
      <c r="C28" s="526"/>
      <c r="D28" s="524"/>
      <c r="E28" s="524"/>
      <c r="F28" s="524"/>
      <c r="G28" s="524"/>
      <c r="H28" s="365"/>
      <c r="I28" s="365"/>
      <c r="J28" s="365"/>
      <c r="K28" s="365"/>
      <c r="L28" s="365"/>
      <c r="M28" s="365"/>
      <c r="N28" s="365"/>
      <c r="O28" s="365"/>
      <c r="P28" s="524"/>
      <c r="Q28" s="525"/>
      <c r="R28" s="365"/>
      <c r="S28" s="365"/>
      <c r="AA28" s="366"/>
    </row>
    <row r="29" spans="1:27" s="364" customFormat="1" ht="15">
      <c r="A29" s="365"/>
      <c r="B29" s="524"/>
      <c r="C29" s="526"/>
      <c r="D29" s="524"/>
      <c r="E29" s="524"/>
      <c r="F29" s="524"/>
      <c r="G29" s="524"/>
      <c r="H29" s="365"/>
      <c r="I29" s="365"/>
      <c r="J29" s="365"/>
      <c r="K29" s="365"/>
      <c r="L29" s="365"/>
      <c r="M29" s="365"/>
      <c r="N29" s="365"/>
      <c r="O29" s="365"/>
      <c r="P29" s="524"/>
      <c r="Q29" s="525"/>
      <c r="R29" s="365"/>
      <c r="S29" s="365"/>
      <c r="AA29" s="366"/>
    </row>
    <row r="30" spans="1:27" s="364" customFormat="1" ht="15">
      <c r="A30" s="365"/>
      <c r="B30" s="524"/>
      <c r="C30" s="526"/>
      <c r="D30" s="524"/>
      <c r="E30" s="524"/>
      <c r="F30" s="524"/>
      <c r="G30" s="524"/>
      <c r="H30" s="365"/>
      <c r="I30" s="365"/>
      <c r="J30" s="365"/>
      <c r="K30" s="365"/>
      <c r="L30" s="365"/>
      <c r="M30" s="365"/>
      <c r="N30" s="365"/>
      <c r="O30" s="365"/>
      <c r="P30" s="524"/>
      <c r="Q30" s="525"/>
      <c r="R30" s="365"/>
      <c r="S30" s="365"/>
      <c r="AA30" s="366"/>
    </row>
    <row r="31" spans="1:27" s="364" customFormat="1" ht="15">
      <c r="A31" s="365"/>
      <c r="B31" s="524"/>
      <c r="C31" s="526"/>
      <c r="D31" s="524"/>
      <c r="E31" s="524"/>
      <c r="F31" s="524"/>
      <c r="G31" s="524"/>
      <c r="H31" s="365"/>
      <c r="I31" s="365"/>
      <c r="J31" s="365"/>
      <c r="K31" s="365"/>
      <c r="L31" s="365"/>
      <c r="M31" s="365"/>
      <c r="N31" s="365"/>
      <c r="O31" s="365"/>
      <c r="P31" s="524"/>
      <c r="Q31" s="525"/>
      <c r="R31" s="365"/>
      <c r="S31" s="365"/>
      <c r="AA31" s="366"/>
    </row>
    <row r="32" spans="1:27" s="364" customFormat="1" ht="15">
      <c r="A32" s="365"/>
      <c r="B32" s="524"/>
      <c r="C32" s="526"/>
      <c r="D32" s="524"/>
      <c r="E32" s="524"/>
      <c r="F32" s="524"/>
      <c r="G32" s="524"/>
      <c r="H32" s="365"/>
      <c r="I32" s="365"/>
      <c r="J32" s="365"/>
      <c r="K32" s="365"/>
      <c r="L32" s="365"/>
      <c r="M32" s="365"/>
      <c r="N32" s="365"/>
      <c r="O32" s="365"/>
      <c r="P32" s="524"/>
      <c r="Q32" s="525"/>
      <c r="R32" s="365"/>
      <c r="S32" s="365"/>
      <c r="AA32" s="366"/>
    </row>
    <row r="33" spans="1:27" s="110" customFormat="1" ht="12.75" customHeight="1">
      <c r="A33" s="581"/>
      <c r="B33" s="581"/>
      <c r="C33" s="527"/>
      <c r="D33" s="527"/>
      <c r="E33" s="527"/>
      <c r="F33" s="528"/>
      <c r="G33" s="529"/>
      <c r="H33" s="360"/>
      <c r="I33" s="360"/>
      <c r="J33" s="360"/>
      <c r="K33" s="360"/>
      <c r="L33" s="360"/>
      <c r="M33" s="360"/>
      <c r="N33" s="360"/>
      <c r="O33" s="360"/>
      <c r="P33" s="530"/>
      <c r="Q33" s="528"/>
      <c r="R33" s="182"/>
      <c r="S33" s="182"/>
      <c r="Y33" s="193"/>
      <c r="Z33" s="193"/>
      <c r="AA33" s="193"/>
    </row>
    <row r="34" spans="1:27" s="110" customFormat="1" ht="12.75" customHeight="1">
      <c r="A34" s="527"/>
      <c r="B34" s="527"/>
      <c r="C34" s="527"/>
      <c r="D34" s="527"/>
      <c r="E34" s="527"/>
      <c r="F34" s="528"/>
      <c r="G34" s="529"/>
      <c r="H34" s="360"/>
      <c r="I34" s="360"/>
      <c r="J34" s="360"/>
      <c r="K34" s="360"/>
      <c r="L34" s="360"/>
      <c r="M34" s="360"/>
      <c r="N34" s="360"/>
      <c r="O34" s="360"/>
      <c r="P34" s="530"/>
      <c r="Q34" s="528"/>
      <c r="R34" s="182"/>
      <c r="S34" s="182"/>
      <c r="Y34" s="193"/>
      <c r="Z34" s="193"/>
      <c r="AA34" s="193"/>
    </row>
    <row r="35" spans="1:27" s="110" customFormat="1" ht="12.75" customHeight="1">
      <c r="A35" s="527"/>
      <c r="B35" s="527"/>
      <c r="C35" s="527"/>
      <c r="D35" s="527"/>
      <c r="E35" s="527"/>
      <c r="F35" s="528"/>
      <c r="G35" s="529"/>
      <c r="H35" s="360"/>
      <c r="I35" s="360"/>
      <c r="J35" s="360"/>
      <c r="K35" s="360"/>
      <c r="L35" s="360"/>
      <c r="M35" s="360"/>
      <c r="N35" s="360"/>
      <c r="O35" s="360"/>
      <c r="P35" s="530"/>
      <c r="Q35" s="528"/>
      <c r="R35" s="182"/>
      <c r="S35" s="182"/>
      <c r="Y35" s="193"/>
      <c r="Z35" s="193"/>
      <c r="AA35" s="193"/>
    </row>
    <row r="36" spans="1:27" s="110" customFormat="1" ht="12.75" customHeight="1">
      <c r="A36" s="527"/>
      <c r="B36" s="527"/>
      <c r="C36" s="527"/>
      <c r="D36" s="527"/>
      <c r="E36" s="527"/>
      <c r="F36" s="528"/>
      <c r="G36" s="529"/>
      <c r="H36" s="360"/>
      <c r="I36" s="360"/>
      <c r="J36" s="360"/>
      <c r="K36" s="360"/>
      <c r="L36" s="360"/>
      <c r="M36" s="360"/>
      <c r="N36" s="360"/>
      <c r="O36" s="360"/>
      <c r="P36" s="530"/>
      <c r="Q36" s="528"/>
      <c r="R36" s="182"/>
      <c r="S36" s="182"/>
      <c r="Y36" s="193"/>
      <c r="Z36" s="193"/>
      <c r="AA36" s="193"/>
    </row>
    <row r="37" spans="1:27" s="110" customFormat="1" ht="12.75" customHeight="1">
      <c r="A37" s="527"/>
      <c r="B37" s="527"/>
      <c r="C37" s="527"/>
      <c r="D37" s="527"/>
      <c r="E37" s="527"/>
      <c r="F37" s="528"/>
      <c r="G37" s="529"/>
      <c r="H37" s="360"/>
      <c r="I37" s="360"/>
      <c r="J37" s="360"/>
      <c r="K37" s="360"/>
      <c r="L37" s="360"/>
      <c r="M37" s="360"/>
      <c r="N37" s="360"/>
      <c r="O37" s="360"/>
      <c r="P37" s="530"/>
      <c r="Q37" s="528"/>
      <c r="R37" s="182"/>
      <c r="S37" s="182"/>
      <c r="Y37" s="193"/>
      <c r="Z37" s="193"/>
      <c r="AA37" s="193"/>
    </row>
    <row r="38" spans="1:27" s="110" customFormat="1" ht="12.75" customHeight="1">
      <c r="A38" s="527"/>
      <c r="B38" s="527"/>
      <c r="C38" s="527"/>
      <c r="D38" s="527"/>
      <c r="E38" s="527"/>
      <c r="F38" s="528"/>
      <c r="G38" s="529"/>
      <c r="H38" s="360"/>
      <c r="I38" s="360"/>
      <c r="J38" s="360"/>
      <c r="K38" s="360"/>
      <c r="L38" s="360"/>
      <c r="M38" s="360"/>
      <c r="N38" s="360"/>
      <c r="O38" s="360"/>
      <c r="P38" s="530"/>
      <c r="Q38" s="528"/>
      <c r="R38" s="182"/>
      <c r="S38" s="182"/>
      <c r="Y38" s="193"/>
      <c r="Z38" s="193"/>
      <c r="AA38" s="193"/>
    </row>
    <row r="39" spans="1:27" s="110" customFormat="1" ht="12.75" customHeight="1">
      <c r="A39" s="527"/>
      <c r="B39" s="527"/>
      <c r="C39" s="527"/>
      <c r="D39" s="527"/>
      <c r="E39" s="527"/>
      <c r="F39" s="528"/>
      <c r="G39" s="529"/>
      <c r="H39" s="360"/>
      <c r="I39" s="360"/>
      <c r="J39" s="360"/>
      <c r="K39" s="360"/>
      <c r="L39" s="360"/>
      <c r="M39" s="360"/>
      <c r="N39" s="360"/>
      <c r="O39" s="360"/>
      <c r="P39" s="530"/>
      <c r="Q39" s="528"/>
      <c r="R39" s="182"/>
      <c r="S39" s="182"/>
      <c r="Y39" s="193"/>
      <c r="Z39" s="193"/>
      <c r="AA39" s="193"/>
    </row>
    <row r="40" spans="1:27" s="110" customFormat="1" ht="12.75" customHeight="1">
      <c r="A40" s="527"/>
      <c r="B40" s="527"/>
      <c r="C40" s="527"/>
      <c r="D40" s="527"/>
      <c r="E40" s="527"/>
      <c r="F40" s="528"/>
      <c r="G40" s="529"/>
      <c r="H40" s="360"/>
      <c r="I40" s="360"/>
      <c r="J40" s="360"/>
      <c r="K40" s="360"/>
      <c r="L40" s="360"/>
      <c r="M40" s="360"/>
      <c r="N40" s="360"/>
      <c r="O40" s="360"/>
      <c r="P40" s="530"/>
      <c r="Q40" s="528"/>
      <c r="R40" s="182"/>
      <c r="S40" s="182"/>
      <c r="Y40" s="193"/>
      <c r="Z40" s="193"/>
      <c r="AA40" s="193"/>
    </row>
    <row r="41" spans="1:27" s="110" customFormat="1" ht="12.75" customHeight="1">
      <c r="A41" s="527"/>
      <c r="B41" s="527"/>
      <c r="C41" s="527"/>
      <c r="D41" s="527"/>
      <c r="E41" s="527"/>
      <c r="F41" s="528"/>
      <c r="G41" s="529"/>
      <c r="H41" s="360"/>
      <c r="I41" s="360"/>
      <c r="J41" s="360"/>
      <c r="K41" s="360"/>
      <c r="L41" s="360"/>
      <c r="M41" s="360"/>
      <c r="N41" s="360"/>
      <c r="O41" s="360"/>
      <c r="P41" s="530"/>
      <c r="Q41" s="528"/>
      <c r="R41" s="182"/>
      <c r="S41" s="182"/>
      <c r="Y41" s="193"/>
      <c r="Z41" s="193"/>
      <c r="AA41" s="193"/>
    </row>
    <row r="42" spans="1:27" s="110" customFormat="1" ht="11.25" customHeight="1">
      <c r="A42" s="580"/>
      <c r="B42" s="580"/>
      <c r="C42" s="527"/>
      <c r="D42" s="527"/>
      <c r="E42" s="527"/>
      <c r="F42" s="528"/>
      <c r="G42" s="528"/>
      <c r="H42" s="361"/>
      <c r="I42" s="360"/>
      <c r="J42" s="360"/>
      <c r="K42" s="360"/>
      <c r="L42" s="360"/>
      <c r="M42" s="360"/>
      <c r="N42" s="360"/>
      <c r="O42" s="360"/>
      <c r="P42" s="530"/>
      <c r="Q42" s="528"/>
      <c r="R42" s="182"/>
      <c r="S42" s="182"/>
      <c r="Y42" s="193"/>
      <c r="Z42" s="193"/>
      <c r="AA42" s="193"/>
    </row>
    <row r="43" spans="1:27" s="110" customFormat="1" ht="12.75">
      <c r="A43" s="531"/>
      <c r="B43" s="182"/>
      <c r="C43" s="182"/>
      <c r="D43" s="532"/>
      <c r="E43" s="532"/>
      <c r="F43" s="529"/>
      <c r="G43" s="529"/>
      <c r="H43" s="360"/>
      <c r="I43" s="360"/>
      <c r="J43" s="360"/>
      <c r="K43" s="360"/>
      <c r="L43" s="360"/>
      <c r="M43" s="360"/>
      <c r="N43" s="360"/>
      <c r="O43" s="360"/>
      <c r="P43" s="530"/>
      <c r="Q43" s="528"/>
      <c r="R43" s="182"/>
      <c r="S43" s="182"/>
      <c r="Y43" s="193"/>
      <c r="Z43" s="193"/>
      <c r="AA43" s="193"/>
    </row>
    <row r="44" spans="1:27" s="110" customFormat="1" ht="12.75">
      <c r="A44" s="531"/>
      <c r="B44" s="182"/>
      <c r="C44" s="182"/>
      <c r="D44" s="532"/>
      <c r="E44" s="532"/>
      <c r="F44" s="529"/>
      <c r="G44" s="529"/>
      <c r="H44" s="360"/>
      <c r="I44" s="360"/>
      <c r="J44" s="360"/>
      <c r="K44" s="360"/>
      <c r="L44" s="360"/>
      <c r="M44" s="360"/>
      <c r="N44" s="360"/>
      <c r="O44" s="360"/>
      <c r="P44" s="530"/>
      <c r="Q44" s="528"/>
      <c r="R44" s="182"/>
      <c r="S44" s="182"/>
      <c r="Y44" s="193"/>
      <c r="Z44" s="193"/>
      <c r="AA44" s="193"/>
    </row>
    <row r="45" spans="1:27" s="110" customFormat="1" ht="12.75">
      <c r="A45" s="531"/>
      <c r="B45" s="182"/>
      <c r="C45" s="182"/>
      <c r="D45" s="532"/>
      <c r="E45" s="532"/>
      <c r="F45" s="529"/>
      <c r="G45" s="529"/>
      <c r="H45" s="360"/>
      <c r="I45" s="360"/>
      <c r="J45" s="360"/>
      <c r="K45" s="360"/>
      <c r="L45" s="360"/>
      <c r="M45" s="360"/>
      <c r="N45" s="360"/>
      <c r="O45" s="360"/>
      <c r="P45" s="530"/>
      <c r="Q45" s="528"/>
      <c r="R45" s="182"/>
      <c r="S45" s="182"/>
      <c r="Y45" s="193"/>
      <c r="Z45" s="193"/>
      <c r="AA45" s="193"/>
    </row>
    <row r="46" spans="1:19" ht="12.75">
      <c r="A46" s="413"/>
      <c r="B46" s="180"/>
      <c r="C46" s="180"/>
      <c r="D46" s="533"/>
      <c r="E46" s="533"/>
      <c r="F46" s="534"/>
      <c r="G46" s="534"/>
      <c r="I46" s="342"/>
      <c r="J46" s="342"/>
      <c r="K46" s="342"/>
      <c r="L46" s="342"/>
      <c r="M46" s="342"/>
      <c r="N46" s="342"/>
      <c r="O46" s="342"/>
      <c r="P46" s="535"/>
      <c r="Q46" s="536"/>
      <c r="R46" s="180"/>
      <c r="S46" s="180"/>
    </row>
    <row r="47" spans="1:19" ht="12.75">
      <c r="A47" s="413"/>
      <c r="B47" s="180"/>
      <c r="C47" s="180"/>
      <c r="D47" s="533"/>
      <c r="E47" s="533"/>
      <c r="F47" s="534"/>
      <c r="G47" s="534"/>
      <c r="I47" s="342"/>
      <c r="J47" s="342"/>
      <c r="K47" s="342"/>
      <c r="L47" s="342"/>
      <c r="M47" s="342"/>
      <c r="N47" s="342"/>
      <c r="O47" s="342"/>
      <c r="P47" s="535"/>
      <c r="Q47" s="536"/>
      <c r="R47" s="180"/>
      <c r="S47" s="180"/>
    </row>
    <row r="48" spans="1:19" ht="12.75">
      <c r="A48" s="413"/>
      <c r="B48" s="180"/>
      <c r="C48" s="180"/>
      <c r="D48" s="533"/>
      <c r="E48" s="533"/>
      <c r="F48" s="534"/>
      <c r="G48" s="534"/>
      <c r="I48" s="342"/>
      <c r="J48" s="342"/>
      <c r="K48" s="342"/>
      <c r="L48" s="342"/>
      <c r="M48" s="342"/>
      <c r="N48" s="342"/>
      <c r="O48" s="342"/>
      <c r="P48" s="535"/>
      <c r="Q48" s="536"/>
      <c r="R48" s="180"/>
      <c r="S48" s="180"/>
    </row>
    <row r="49" spans="1:19" ht="12.75">
      <c r="A49" s="413"/>
      <c r="B49" s="180"/>
      <c r="C49" s="180"/>
      <c r="D49" s="533"/>
      <c r="E49" s="533"/>
      <c r="F49" s="534"/>
      <c r="G49" s="534"/>
      <c r="I49" s="342"/>
      <c r="J49" s="342"/>
      <c r="K49" s="342"/>
      <c r="L49" s="342"/>
      <c r="M49" s="342"/>
      <c r="N49" s="342"/>
      <c r="O49" s="342"/>
      <c r="P49" s="535"/>
      <c r="Q49" s="536"/>
      <c r="R49" s="180"/>
      <c r="S49" s="180"/>
    </row>
    <row r="50" spans="1:27" s="166" customFormat="1" ht="12.75" customHeight="1" hidden="1">
      <c r="A50" s="214">
        <f>IF(C50&lt;=8,2,IF(C50&lt;=16,4,8))</f>
        <v>4</v>
      </c>
      <c r="B50" s="215"/>
      <c r="C50" s="217">
        <f>16-COUNTIF(C8:C23,"")</f>
        <v>16</v>
      </c>
      <c r="D50" s="216"/>
      <c r="E50" s="216"/>
      <c r="F50" s="218"/>
      <c r="G50" s="217"/>
      <c r="H50" s="537"/>
      <c r="I50" s="538"/>
      <c r="J50" s="539">
        <f>COUNTIF(J12:J43,"СК")</f>
        <v>0</v>
      </c>
      <c r="K50" s="537"/>
      <c r="L50" s="540"/>
      <c r="M50" s="540"/>
      <c r="N50" s="540"/>
      <c r="O50" s="540"/>
      <c r="P50" s="540"/>
      <c r="Q50" s="541"/>
      <c r="R50" s="216"/>
      <c r="S50" s="216"/>
      <c r="Y50" s="195"/>
      <c r="Z50" s="195"/>
      <c r="AA50" s="195"/>
    </row>
    <row r="51" spans="1:19" ht="12.75">
      <c r="A51" s="413"/>
      <c r="B51" s="180"/>
      <c r="C51" s="180"/>
      <c r="D51" s="533"/>
      <c r="E51" s="533"/>
      <c r="F51" s="534"/>
      <c r="G51" s="534"/>
      <c r="I51" s="342"/>
      <c r="J51" s="342"/>
      <c r="K51" s="342"/>
      <c r="L51" s="342"/>
      <c r="M51" s="342"/>
      <c r="N51" s="342"/>
      <c r="O51" s="342"/>
      <c r="P51" s="535"/>
      <c r="Q51" s="536"/>
      <c r="R51" s="180"/>
      <c r="S51" s="180"/>
    </row>
    <row r="52" spans="1:19" ht="12.75">
      <c r="A52" s="413"/>
      <c r="B52" s="180"/>
      <c r="C52" s="180"/>
      <c r="D52" s="533"/>
      <c r="E52" s="533"/>
      <c r="F52" s="534"/>
      <c r="G52" s="534"/>
      <c r="I52" s="342"/>
      <c r="J52" s="342"/>
      <c r="K52" s="342"/>
      <c r="L52" s="342"/>
      <c r="M52" s="342"/>
      <c r="N52" s="342"/>
      <c r="O52" s="342"/>
      <c r="P52" s="535"/>
      <c r="Q52" s="536"/>
      <c r="R52" s="180"/>
      <c r="S52" s="180"/>
    </row>
    <row r="53" spans="1:19" ht="12.75">
      <c r="A53" s="413"/>
      <c r="B53" s="180"/>
      <c r="C53" s="180"/>
      <c r="D53" s="533"/>
      <c r="E53" s="533"/>
      <c r="F53" s="534"/>
      <c r="G53" s="534"/>
      <c r="I53" s="342"/>
      <c r="J53" s="342"/>
      <c r="K53" s="342"/>
      <c r="L53" s="342"/>
      <c r="M53" s="342"/>
      <c r="N53" s="342"/>
      <c r="O53" s="342"/>
      <c r="P53" s="535"/>
      <c r="Q53" s="536"/>
      <c r="R53" s="180"/>
      <c r="S53" s="180"/>
    </row>
    <row r="54" spans="1:19" ht="12.75">
      <c r="A54" s="413"/>
      <c r="B54" s="180"/>
      <c r="C54" s="180"/>
      <c r="D54" s="533"/>
      <c r="E54" s="533"/>
      <c r="F54" s="534"/>
      <c r="G54" s="534"/>
      <c r="I54" s="342"/>
      <c r="J54" s="342"/>
      <c r="K54" s="342"/>
      <c r="L54" s="342"/>
      <c r="M54" s="342"/>
      <c r="N54" s="342"/>
      <c r="O54" s="342"/>
      <c r="P54" s="535"/>
      <c r="Q54" s="536"/>
      <c r="R54" s="180"/>
      <c r="S54" s="180"/>
    </row>
    <row r="55" spans="1:19" ht="12.75">
      <c r="A55" s="413"/>
      <c r="B55" s="180"/>
      <c r="C55" s="180"/>
      <c r="D55" s="533"/>
      <c r="E55" s="533"/>
      <c r="F55" s="534"/>
      <c r="G55" s="534"/>
      <c r="I55" s="342"/>
      <c r="J55" s="342"/>
      <c r="K55" s="342"/>
      <c r="L55" s="342"/>
      <c r="M55" s="342"/>
      <c r="N55" s="342"/>
      <c r="O55" s="342"/>
      <c r="P55" s="535"/>
      <c r="Q55" s="536"/>
      <c r="R55" s="180"/>
      <c r="S55" s="180"/>
    </row>
    <row r="56" spans="1:19" ht="12.75">
      <c r="A56" s="413"/>
      <c r="B56" s="180"/>
      <c r="C56" s="180"/>
      <c r="D56" s="533"/>
      <c r="E56" s="533"/>
      <c r="F56" s="534"/>
      <c r="G56" s="534"/>
      <c r="I56" s="342"/>
      <c r="J56" s="342"/>
      <c r="K56" s="342"/>
      <c r="L56" s="342"/>
      <c r="M56" s="342"/>
      <c r="N56" s="342"/>
      <c r="O56" s="342"/>
      <c r="P56" s="535"/>
      <c r="Q56" s="536"/>
      <c r="R56" s="180"/>
      <c r="S56" s="180"/>
    </row>
    <row r="57" spans="1:19" ht="12.75">
      <c r="A57" s="413"/>
      <c r="B57" s="180"/>
      <c r="C57" s="180"/>
      <c r="D57" s="533"/>
      <c r="E57" s="533"/>
      <c r="F57" s="534"/>
      <c r="G57" s="534"/>
      <c r="I57" s="342"/>
      <c r="J57" s="342"/>
      <c r="K57" s="342"/>
      <c r="L57" s="342"/>
      <c r="M57" s="342"/>
      <c r="N57" s="342"/>
      <c r="O57" s="342"/>
      <c r="P57" s="535"/>
      <c r="Q57" s="536"/>
      <c r="R57" s="180"/>
      <c r="S57" s="180"/>
    </row>
    <row r="58" spans="1:19" ht="12.75">
      <c r="A58" s="413"/>
      <c r="B58" s="180"/>
      <c r="C58" s="180"/>
      <c r="D58" s="533"/>
      <c r="E58" s="533"/>
      <c r="F58" s="534"/>
      <c r="G58" s="534"/>
      <c r="I58" s="342"/>
      <c r="J58" s="342"/>
      <c r="K58" s="342"/>
      <c r="L58" s="342"/>
      <c r="M58" s="342"/>
      <c r="N58" s="342"/>
      <c r="O58" s="342"/>
      <c r="P58" s="535"/>
      <c r="Q58" s="536"/>
      <c r="R58" s="180"/>
      <c r="S58" s="180"/>
    </row>
    <row r="59" spans="1:19" ht="12.75">
      <c r="A59" s="413"/>
      <c r="B59" s="180"/>
      <c r="C59" s="180"/>
      <c r="D59" s="533"/>
      <c r="E59" s="533"/>
      <c r="F59" s="534"/>
      <c r="G59" s="534"/>
      <c r="I59" s="342"/>
      <c r="J59" s="342"/>
      <c r="K59" s="342"/>
      <c r="L59" s="342"/>
      <c r="M59" s="342"/>
      <c r="N59" s="342"/>
      <c r="O59" s="342"/>
      <c r="P59" s="535"/>
      <c r="Q59" s="536"/>
      <c r="R59" s="180"/>
      <c r="S59" s="180"/>
    </row>
    <row r="60" spans="1:19" ht="12.75">
      <c r="A60" s="413"/>
      <c r="B60" s="180"/>
      <c r="C60" s="180"/>
      <c r="D60" s="533"/>
      <c r="E60" s="533"/>
      <c r="F60" s="534"/>
      <c r="G60" s="534"/>
      <c r="I60" s="342"/>
      <c r="J60" s="342"/>
      <c r="K60" s="342"/>
      <c r="L60" s="342"/>
      <c r="M60" s="342"/>
      <c r="N60" s="342"/>
      <c r="O60" s="342"/>
      <c r="P60" s="535"/>
      <c r="Q60" s="536"/>
      <c r="R60" s="180"/>
      <c r="S60" s="180"/>
    </row>
    <row r="61" spans="1:19" ht="12.75">
      <c r="A61" s="413"/>
      <c r="B61" s="180"/>
      <c r="C61" s="180"/>
      <c r="D61" s="533"/>
      <c r="E61" s="533"/>
      <c r="F61" s="534"/>
      <c r="G61" s="534"/>
      <c r="I61" s="342"/>
      <c r="J61" s="342"/>
      <c r="K61" s="342"/>
      <c r="L61" s="342"/>
      <c r="M61" s="342"/>
      <c r="N61" s="342"/>
      <c r="O61" s="342"/>
      <c r="P61" s="535"/>
      <c r="Q61" s="536"/>
      <c r="R61" s="180"/>
      <c r="S61" s="180"/>
    </row>
    <row r="62" spans="1:19" ht="12.75">
      <c r="A62" s="413"/>
      <c r="B62" s="180"/>
      <c r="C62" s="180"/>
      <c r="D62" s="533"/>
      <c r="E62" s="533"/>
      <c r="F62" s="534"/>
      <c r="G62" s="534"/>
      <c r="I62" s="342"/>
      <c r="J62" s="342"/>
      <c r="K62" s="342"/>
      <c r="L62" s="342"/>
      <c r="M62" s="342"/>
      <c r="N62" s="342"/>
      <c r="O62" s="342"/>
      <c r="P62" s="535"/>
      <c r="Q62" s="536"/>
      <c r="R62" s="180"/>
      <c r="S62" s="180"/>
    </row>
    <row r="63" spans="1:19" ht="12.75">
      <c r="A63" s="413"/>
      <c r="B63" s="180"/>
      <c r="C63" s="180"/>
      <c r="D63" s="533"/>
      <c r="E63" s="533"/>
      <c r="F63" s="534"/>
      <c r="G63" s="534"/>
      <c r="I63" s="342"/>
      <c r="J63" s="342"/>
      <c r="K63" s="342"/>
      <c r="L63" s="342"/>
      <c r="M63" s="342"/>
      <c r="N63" s="342"/>
      <c r="O63" s="342"/>
      <c r="P63" s="535"/>
      <c r="Q63" s="536"/>
      <c r="R63" s="180"/>
      <c r="S63" s="180"/>
    </row>
    <row r="64" spans="1:19" ht="12.75">
      <c r="A64" s="413"/>
      <c r="B64" s="180"/>
      <c r="C64" s="180"/>
      <c r="D64" s="533"/>
      <c r="E64" s="533"/>
      <c r="F64" s="534"/>
      <c r="G64" s="534"/>
      <c r="I64" s="342"/>
      <c r="J64" s="342"/>
      <c r="K64" s="342"/>
      <c r="L64" s="342"/>
      <c r="M64" s="342"/>
      <c r="N64" s="342"/>
      <c r="O64" s="342"/>
      <c r="P64" s="535"/>
      <c r="Q64" s="536"/>
      <c r="R64" s="180"/>
      <c r="S64" s="180"/>
    </row>
    <row r="65" spans="1:19" ht="12.75">
      <c r="A65" s="413"/>
      <c r="B65" s="180"/>
      <c r="C65" s="180"/>
      <c r="D65" s="533"/>
      <c r="E65" s="533"/>
      <c r="F65" s="534"/>
      <c r="G65" s="534"/>
      <c r="I65" s="342"/>
      <c r="J65" s="342"/>
      <c r="K65" s="342"/>
      <c r="L65" s="342"/>
      <c r="M65" s="342"/>
      <c r="N65" s="342"/>
      <c r="O65" s="342"/>
      <c r="P65" s="535"/>
      <c r="Q65" s="536"/>
      <c r="R65" s="180"/>
      <c r="S65" s="180"/>
    </row>
    <row r="66" spans="1:19" ht="12.75">
      <c r="A66" s="413"/>
      <c r="B66" s="180"/>
      <c r="C66" s="180"/>
      <c r="D66" s="533"/>
      <c r="E66" s="533"/>
      <c r="F66" s="534"/>
      <c r="G66" s="534"/>
      <c r="I66" s="342"/>
      <c r="J66" s="342"/>
      <c r="K66" s="342"/>
      <c r="L66" s="342"/>
      <c r="M66" s="342"/>
      <c r="N66" s="342"/>
      <c r="O66" s="342"/>
      <c r="P66" s="535"/>
      <c r="Q66" s="536"/>
      <c r="R66" s="180"/>
      <c r="S66" s="180"/>
    </row>
    <row r="67" spans="1:19" ht="12.75">
      <c r="A67" s="413"/>
      <c r="B67" s="180"/>
      <c r="C67" s="180"/>
      <c r="D67" s="533"/>
      <c r="E67" s="533"/>
      <c r="F67" s="534"/>
      <c r="G67" s="534"/>
      <c r="I67" s="342"/>
      <c r="J67" s="342"/>
      <c r="K67" s="342"/>
      <c r="L67" s="342"/>
      <c r="M67" s="342"/>
      <c r="N67" s="342"/>
      <c r="O67" s="342"/>
      <c r="P67" s="535"/>
      <c r="Q67" s="536"/>
      <c r="R67" s="180"/>
      <c r="S67" s="180"/>
    </row>
    <row r="68" spans="1:19" ht="12.75">
      <c r="A68" s="413"/>
      <c r="B68" s="180"/>
      <c r="C68" s="180"/>
      <c r="D68" s="533"/>
      <c r="E68" s="533"/>
      <c r="F68" s="534"/>
      <c r="G68" s="534"/>
      <c r="I68" s="342"/>
      <c r="J68" s="342"/>
      <c r="K68" s="342"/>
      <c r="L68" s="342"/>
      <c r="M68" s="342"/>
      <c r="N68" s="342"/>
      <c r="O68" s="342"/>
      <c r="P68" s="535"/>
      <c r="Q68" s="536"/>
      <c r="R68" s="180"/>
      <c r="S68" s="180"/>
    </row>
    <row r="69" spans="1:19" ht="12.75">
      <c r="A69" s="413"/>
      <c r="B69" s="180"/>
      <c r="C69" s="180"/>
      <c r="D69" s="533"/>
      <c r="E69" s="533"/>
      <c r="F69" s="534"/>
      <c r="G69" s="534"/>
      <c r="I69" s="342"/>
      <c r="J69" s="342"/>
      <c r="K69" s="342"/>
      <c r="L69" s="342"/>
      <c r="M69" s="342"/>
      <c r="N69" s="342"/>
      <c r="O69" s="342"/>
      <c r="P69" s="535"/>
      <c r="Q69" s="536"/>
      <c r="R69" s="180"/>
      <c r="S69" s="180"/>
    </row>
    <row r="70" spans="1:19" ht="12.75">
      <c r="A70" s="413"/>
      <c r="B70" s="180"/>
      <c r="C70" s="180"/>
      <c r="D70" s="533"/>
      <c r="E70" s="533"/>
      <c r="F70" s="534"/>
      <c r="G70" s="534"/>
      <c r="I70" s="342"/>
      <c r="J70" s="342"/>
      <c r="K70" s="342"/>
      <c r="L70" s="342"/>
      <c r="M70" s="342"/>
      <c r="N70" s="342"/>
      <c r="O70" s="342"/>
      <c r="P70" s="535"/>
      <c r="Q70" s="536"/>
      <c r="R70" s="180"/>
      <c r="S70" s="180"/>
    </row>
    <row r="71" spans="1:5" ht="12.75">
      <c r="A71" s="36"/>
      <c r="D71" s="33"/>
      <c r="E71" s="33"/>
    </row>
    <row r="72" spans="1:5" ht="12.75">
      <c r="A72" s="36"/>
      <c r="D72" s="33"/>
      <c r="E72" s="33"/>
    </row>
    <row r="73" spans="1:5" ht="12.75">
      <c r="A73" s="36"/>
      <c r="D73" s="33"/>
      <c r="E73" s="33"/>
    </row>
    <row r="74" spans="1:5" ht="12.75">
      <c r="A74" s="36"/>
      <c r="D74" s="33"/>
      <c r="E74" s="33"/>
    </row>
    <row r="75" spans="1:5" ht="12.75">
      <c r="A75" s="36"/>
      <c r="D75" s="33"/>
      <c r="E75" s="33"/>
    </row>
    <row r="76" spans="1:5" ht="12.75">
      <c r="A76" s="36"/>
      <c r="D76" s="33"/>
      <c r="E76" s="33"/>
    </row>
    <row r="77" spans="1:5" ht="12.75">
      <c r="A77" s="36"/>
      <c r="D77" s="33"/>
      <c r="E77" s="33"/>
    </row>
    <row r="78" spans="1:5" ht="12.75">
      <c r="A78" s="36"/>
      <c r="D78" s="33"/>
      <c r="E78" s="33"/>
    </row>
    <row r="79" spans="1:5" ht="12.75">
      <c r="A79" s="36"/>
      <c r="D79" s="33"/>
      <c r="E79" s="33"/>
    </row>
    <row r="80" spans="1:5" ht="12.75">
      <c r="A80" s="36"/>
      <c r="D80" s="33"/>
      <c r="E80" s="33"/>
    </row>
    <row r="81" spans="1:5" ht="12.75">
      <c r="A81" s="36"/>
      <c r="D81" s="33"/>
      <c r="E81" s="33"/>
    </row>
    <row r="82" spans="1:5" ht="12.75">
      <c r="A82" s="36"/>
      <c r="D82" s="33"/>
      <c r="E82" s="33"/>
    </row>
    <row r="83" spans="1:5" ht="12.75">
      <c r="A83" s="36"/>
      <c r="D83" s="33"/>
      <c r="E83" s="33"/>
    </row>
    <row r="84" spans="1:5" ht="12.75">
      <c r="A84" s="36"/>
      <c r="D84" s="33"/>
      <c r="E84" s="33"/>
    </row>
    <row r="85" spans="1:5" ht="12.75">
      <c r="A85" s="36"/>
      <c r="D85" s="33"/>
      <c r="E85" s="33"/>
    </row>
    <row r="86" spans="1:5" ht="12.75">
      <c r="A86" s="36"/>
      <c r="D86" s="33"/>
      <c r="E86" s="33"/>
    </row>
    <row r="87" spans="1:5" ht="12.75">
      <c r="A87" s="36"/>
      <c r="D87" s="33"/>
      <c r="E87" s="33"/>
    </row>
    <row r="88" spans="1:5" ht="12.75">
      <c r="A88" s="36"/>
      <c r="D88" s="33"/>
      <c r="E88" s="33"/>
    </row>
    <row r="89" spans="1:5" ht="12.75">
      <c r="A89" s="36"/>
      <c r="D89" s="33"/>
      <c r="E89" s="33"/>
    </row>
    <row r="90" spans="1:5" ht="12.75">
      <c r="A90" s="36"/>
      <c r="D90" s="33"/>
      <c r="E90" s="33"/>
    </row>
    <row r="91" spans="1:5" ht="12.75">
      <c r="A91" s="36"/>
      <c r="D91" s="33"/>
      <c r="E91" s="33"/>
    </row>
    <row r="92" spans="1:5" ht="12.75">
      <c r="A92" s="36"/>
      <c r="D92" s="33"/>
      <c r="E92" s="33"/>
    </row>
    <row r="93" spans="1:5" ht="12.75">
      <c r="A93" s="36"/>
      <c r="D93" s="33"/>
      <c r="E93" s="33"/>
    </row>
    <row r="94" spans="1:5" ht="12.75">
      <c r="A94" s="36"/>
      <c r="D94" s="33"/>
      <c r="E94" s="33"/>
    </row>
    <row r="95" spans="1:5" ht="12.75">
      <c r="A95" s="36"/>
      <c r="D95" s="33"/>
      <c r="E95" s="33"/>
    </row>
    <row r="96" spans="1:5" ht="12.75">
      <c r="A96" s="36"/>
      <c r="D96" s="33"/>
      <c r="E96" s="33"/>
    </row>
    <row r="97" spans="1:5" ht="12.75">
      <c r="A97" s="36"/>
      <c r="D97" s="33"/>
      <c r="E97" s="33"/>
    </row>
    <row r="98" spans="1:5" ht="12.75">
      <c r="A98" s="36"/>
      <c r="D98" s="33"/>
      <c r="E98" s="33"/>
    </row>
    <row r="99" spans="1:5" ht="12.75">
      <c r="A99" s="36"/>
      <c r="D99" s="33"/>
      <c r="E99" s="33"/>
    </row>
    <row r="100" spans="1:5" ht="12.75">
      <c r="A100" s="36"/>
      <c r="D100" s="33"/>
      <c r="E100" s="33"/>
    </row>
    <row r="101" spans="1:5" ht="12.75">
      <c r="A101" s="36"/>
      <c r="D101" s="33"/>
      <c r="E101" s="33"/>
    </row>
    <row r="102" spans="1:5" ht="12.75">
      <c r="A102" s="36"/>
      <c r="D102" s="33"/>
      <c r="E102" s="33"/>
    </row>
    <row r="103" spans="1:5" ht="12.75">
      <c r="A103" s="36"/>
      <c r="D103" s="33"/>
      <c r="E103" s="33"/>
    </row>
    <row r="104" spans="1:5" ht="12.75">
      <c r="A104" s="36"/>
      <c r="D104" s="33"/>
      <c r="E104" s="33"/>
    </row>
    <row r="105" spans="1:5" ht="12.75">
      <c r="A105" s="36"/>
      <c r="D105" s="33"/>
      <c r="E105" s="33"/>
    </row>
    <row r="106" spans="1:5" ht="12.75">
      <c r="A106" s="36"/>
      <c r="D106" s="33"/>
      <c r="E106" s="33"/>
    </row>
    <row r="107" spans="1:5" ht="12.75">
      <c r="A107" s="36"/>
      <c r="D107" s="33"/>
      <c r="E107" s="33"/>
    </row>
    <row r="108" spans="1:5" ht="12.75">
      <c r="A108" s="36"/>
      <c r="D108" s="33"/>
      <c r="E108" s="33"/>
    </row>
    <row r="109" spans="1:5" ht="12.75">
      <c r="A109" s="36"/>
      <c r="D109" s="33"/>
      <c r="E109" s="33"/>
    </row>
    <row r="110" spans="1:5" ht="12.75">
      <c r="A110" s="36"/>
      <c r="D110" s="33"/>
      <c r="E110" s="33"/>
    </row>
    <row r="111" spans="1:5" ht="12.75">
      <c r="A111" s="36"/>
      <c r="D111" s="33"/>
      <c r="E111" s="33"/>
    </row>
    <row r="112" spans="1:5" ht="12.75">
      <c r="A112" s="36"/>
      <c r="D112" s="33"/>
      <c r="E112" s="33"/>
    </row>
    <row r="113" spans="1:5" ht="12.75">
      <c r="A113" s="36"/>
      <c r="D113" s="33"/>
      <c r="E113" s="33"/>
    </row>
    <row r="114" spans="1:5" ht="12.75">
      <c r="A114" s="36"/>
      <c r="D114" s="33"/>
      <c r="E114" s="33"/>
    </row>
    <row r="115" spans="1:5" ht="12.75">
      <c r="A115" s="36"/>
      <c r="D115" s="33"/>
      <c r="E115" s="33"/>
    </row>
    <row r="116" spans="1:5" ht="12.75">
      <c r="A116" s="36"/>
      <c r="D116" s="33"/>
      <c r="E116" s="33"/>
    </row>
    <row r="117" spans="1:5" ht="12.75">
      <c r="A117" s="36"/>
      <c r="D117" s="33"/>
      <c r="E117" s="33"/>
    </row>
    <row r="118" spans="1:5" ht="12.75">
      <c r="A118" s="36"/>
      <c r="D118" s="33"/>
      <c r="E118" s="33"/>
    </row>
    <row r="119" spans="1:5" ht="12.75">
      <c r="A119" s="36"/>
      <c r="D119" s="33"/>
      <c r="E119" s="33"/>
    </row>
    <row r="120" spans="1:5" ht="12.75">
      <c r="A120" s="36"/>
      <c r="D120" s="33"/>
      <c r="E120" s="33"/>
    </row>
    <row r="121" spans="1:5" ht="12.75">
      <c r="A121" s="36"/>
      <c r="D121" s="33"/>
      <c r="E121" s="33"/>
    </row>
    <row r="122" spans="1:5" ht="12.75">
      <c r="A122" s="36"/>
      <c r="D122" s="33"/>
      <c r="E122" s="33"/>
    </row>
    <row r="123" spans="1:5" ht="12.75">
      <c r="A123" s="36"/>
      <c r="D123" s="33"/>
      <c r="E123" s="33"/>
    </row>
    <row r="124" spans="1:5" ht="12.75">
      <c r="A124" s="36"/>
      <c r="D124" s="33"/>
      <c r="E124" s="33"/>
    </row>
    <row r="125" spans="1:5" ht="12.75">
      <c r="A125" s="36"/>
      <c r="D125" s="33"/>
      <c r="E125" s="33"/>
    </row>
    <row r="126" spans="1:5" ht="12.75">
      <c r="A126" s="36"/>
      <c r="D126" s="33"/>
      <c r="E126" s="33"/>
    </row>
    <row r="127" spans="1:5" ht="12.75">
      <c r="A127" s="36"/>
      <c r="D127" s="33"/>
      <c r="E127" s="33"/>
    </row>
    <row r="128" spans="1:5" ht="12.75">
      <c r="A128" s="36"/>
      <c r="D128" s="33"/>
      <c r="E128" s="33"/>
    </row>
    <row r="129" spans="1:5" ht="12.75">
      <c r="A129" s="36"/>
      <c r="D129" s="33"/>
      <c r="E129" s="33"/>
    </row>
    <row r="130" spans="1:5" ht="12.75">
      <c r="A130" s="33"/>
      <c r="D130" s="33"/>
      <c r="E130" s="33"/>
    </row>
    <row r="131" spans="1:5" ht="12.75">
      <c r="A131" s="33"/>
      <c r="D131" s="33"/>
      <c r="E131" s="33"/>
    </row>
    <row r="132" spans="1:5" ht="12.75">
      <c r="A132" s="33"/>
      <c r="D132" s="33"/>
      <c r="E132" s="33"/>
    </row>
    <row r="133" spans="1:5" ht="12.75">
      <c r="A133" s="33"/>
      <c r="D133" s="33"/>
      <c r="E133" s="33"/>
    </row>
    <row r="134" spans="1:5" ht="12.75">
      <c r="A134" s="33"/>
      <c r="D134" s="33"/>
      <c r="E134" s="33"/>
    </row>
    <row r="135" spans="1:5" ht="12.75">
      <c r="A135" s="33"/>
      <c r="D135" s="33"/>
      <c r="E135" s="33"/>
    </row>
    <row r="136" spans="1:5" ht="12.75">
      <c r="A136" s="33"/>
      <c r="D136" s="33"/>
      <c r="E136" s="33"/>
    </row>
    <row r="137" spans="1:5" ht="12.75">
      <c r="A137" s="33"/>
      <c r="D137" s="33"/>
      <c r="E137" s="33"/>
    </row>
    <row r="138" spans="1:5" ht="12.75">
      <c r="A138" s="33"/>
      <c r="D138" s="33"/>
      <c r="E138" s="33"/>
    </row>
    <row r="139" spans="1:5" ht="12.75">
      <c r="A139" s="33"/>
      <c r="D139" s="33"/>
      <c r="E139" s="33"/>
    </row>
    <row r="140" spans="1:5" ht="12.75">
      <c r="A140" s="33"/>
      <c r="D140" s="33"/>
      <c r="E140" s="33"/>
    </row>
    <row r="141" spans="1:5" ht="12.75">
      <c r="A141" s="33"/>
      <c r="D141" s="33"/>
      <c r="E141" s="33"/>
    </row>
    <row r="142" spans="1:5" ht="12.75">
      <c r="A142" s="33"/>
      <c r="D142" s="33"/>
      <c r="E142" s="33"/>
    </row>
    <row r="143" spans="1:5" ht="12.75">
      <c r="A143" s="33"/>
      <c r="D143" s="33"/>
      <c r="E143" s="33"/>
    </row>
    <row r="144" spans="1:5" ht="12.75">
      <c r="A144" s="33"/>
      <c r="D144" s="33"/>
      <c r="E144" s="33"/>
    </row>
    <row r="145" spans="1:5" ht="12.75">
      <c r="A145" s="33"/>
      <c r="D145" s="33"/>
      <c r="E145" s="33"/>
    </row>
    <row r="146" spans="1:5" ht="12.75">
      <c r="A146" s="33"/>
      <c r="D146" s="33"/>
      <c r="E146" s="33"/>
    </row>
    <row r="147" spans="1:5" ht="12.75">
      <c r="A147" s="33"/>
      <c r="D147" s="33"/>
      <c r="E147" s="33"/>
    </row>
    <row r="148" spans="1:5" ht="12.75">
      <c r="A148" s="33"/>
      <c r="D148" s="33"/>
      <c r="E148" s="33"/>
    </row>
    <row r="149" spans="1:5" ht="12.75">
      <c r="A149" s="33"/>
      <c r="D149" s="33"/>
      <c r="E149" s="33"/>
    </row>
    <row r="150" spans="1:5" ht="12.75">
      <c r="A150" s="33"/>
      <c r="D150" s="33"/>
      <c r="E150" s="33"/>
    </row>
    <row r="151" spans="1:5" ht="12.75">
      <c r="A151" s="33"/>
      <c r="D151" s="33"/>
      <c r="E151" s="33"/>
    </row>
    <row r="152" spans="1:5" ht="12.75">
      <c r="A152" s="33"/>
      <c r="D152" s="33"/>
      <c r="E152" s="33"/>
    </row>
    <row r="153" spans="1:5" ht="12.75">
      <c r="A153" s="33"/>
      <c r="D153" s="33"/>
      <c r="E153" s="33"/>
    </row>
    <row r="154" spans="1:5" ht="12.75">
      <c r="A154" s="33"/>
      <c r="D154" s="33"/>
      <c r="E154" s="33"/>
    </row>
    <row r="155" spans="1:5" ht="12.75">
      <c r="A155" s="33"/>
      <c r="D155" s="33"/>
      <c r="E155" s="33"/>
    </row>
    <row r="156" spans="1:5" ht="12.75">
      <c r="A156" s="33"/>
      <c r="D156" s="33"/>
      <c r="E156" s="33"/>
    </row>
    <row r="157" spans="1:5" ht="12.75">
      <c r="A157" s="33"/>
      <c r="D157" s="33"/>
      <c r="E157" s="33"/>
    </row>
    <row r="158" spans="1:5" ht="12.75">
      <c r="A158" s="33"/>
      <c r="D158" s="33"/>
      <c r="E158" s="33"/>
    </row>
    <row r="159" spans="1:5" ht="12.75">
      <c r="A159" s="33"/>
      <c r="D159" s="33"/>
      <c r="E159" s="33"/>
    </row>
    <row r="160" spans="1:5" ht="12.75">
      <c r="A160" s="33"/>
      <c r="D160" s="33"/>
      <c r="E160" s="33"/>
    </row>
    <row r="161" spans="1:5" ht="12.75">
      <c r="A161" s="33"/>
      <c r="D161" s="33"/>
      <c r="E161" s="33"/>
    </row>
    <row r="162" spans="1:5" ht="12.75">
      <c r="A162" s="33"/>
      <c r="D162" s="33"/>
      <c r="E162" s="33"/>
    </row>
    <row r="163" spans="1:5" ht="12.75">
      <c r="A163" s="33"/>
      <c r="D163" s="33"/>
      <c r="E163" s="33"/>
    </row>
    <row r="164" spans="1:5" ht="12.75">
      <c r="A164" s="33"/>
      <c r="D164" s="33"/>
      <c r="E164" s="33"/>
    </row>
    <row r="165" spans="1:5" ht="12.75">
      <c r="A165" s="33"/>
      <c r="D165" s="33"/>
      <c r="E165" s="33"/>
    </row>
    <row r="166" spans="1:5" ht="12.75">
      <c r="A166" s="33"/>
      <c r="D166" s="33"/>
      <c r="E166" s="33"/>
    </row>
    <row r="167" spans="1:5" ht="12.75">
      <c r="A167" s="33"/>
      <c r="D167" s="33"/>
      <c r="E167" s="33"/>
    </row>
    <row r="168" spans="1:5" ht="12.75">
      <c r="A168" s="33"/>
      <c r="D168" s="33"/>
      <c r="E168" s="33"/>
    </row>
    <row r="169" spans="1:5" ht="12.75">
      <c r="A169" s="33"/>
      <c r="D169" s="33"/>
      <c r="E169" s="33"/>
    </row>
    <row r="170" spans="1:5" ht="12.75">
      <c r="A170" s="33"/>
      <c r="D170" s="33"/>
      <c r="E170" s="33"/>
    </row>
    <row r="171" spans="1:5" ht="12.75">
      <c r="A171" s="33"/>
      <c r="D171" s="33"/>
      <c r="E171" s="33"/>
    </row>
    <row r="172" spans="1:5" ht="12.75">
      <c r="A172" s="33"/>
      <c r="D172" s="33"/>
      <c r="E172" s="33"/>
    </row>
    <row r="173" spans="1:5" ht="12.75">
      <c r="A173" s="33"/>
      <c r="D173" s="33"/>
      <c r="E173" s="33"/>
    </row>
    <row r="174" spans="1:5" ht="12.75">
      <c r="A174" s="33"/>
      <c r="D174" s="33"/>
      <c r="E174" s="33"/>
    </row>
    <row r="175" spans="1:5" ht="12.75">
      <c r="A175" s="33"/>
      <c r="D175" s="33"/>
      <c r="E175" s="33"/>
    </row>
    <row r="176" spans="1:5" ht="12.75">
      <c r="A176" s="33"/>
      <c r="D176" s="33"/>
      <c r="E176" s="33"/>
    </row>
    <row r="177" spans="1:5" ht="12.75">
      <c r="A177" s="33"/>
      <c r="D177" s="33"/>
      <c r="E177" s="33"/>
    </row>
    <row r="178" spans="1:5" ht="12.75">
      <c r="A178" s="33"/>
      <c r="D178" s="33"/>
      <c r="E178" s="33"/>
    </row>
    <row r="179" spans="1:5" ht="12.75">
      <c r="A179" s="33"/>
      <c r="D179" s="33"/>
      <c r="E179" s="33"/>
    </row>
    <row r="180" spans="1:5" ht="12.75">
      <c r="A180" s="33"/>
      <c r="D180" s="33"/>
      <c r="E180" s="33"/>
    </row>
    <row r="181" spans="1:5" ht="12.75">
      <c r="A181" s="33"/>
      <c r="D181" s="33"/>
      <c r="E181" s="33"/>
    </row>
    <row r="182" spans="1:5" ht="12.75">
      <c r="A182" s="33"/>
      <c r="D182" s="33"/>
      <c r="E182" s="33"/>
    </row>
    <row r="183" spans="1:5" ht="12.75">
      <c r="A183" s="33"/>
      <c r="D183" s="33"/>
      <c r="E183" s="33"/>
    </row>
    <row r="184" spans="1:5" ht="12.75">
      <c r="A184" s="33"/>
      <c r="D184" s="33"/>
      <c r="E184" s="33"/>
    </row>
    <row r="185" spans="1:5" ht="12.75">
      <c r="A185" s="33"/>
      <c r="D185" s="33"/>
      <c r="E185" s="33"/>
    </row>
    <row r="186" spans="1:5" ht="12.75">
      <c r="A186" s="33"/>
      <c r="D186" s="33"/>
      <c r="E186" s="33"/>
    </row>
    <row r="187" spans="1:5" ht="12.75">
      <c r="A187" s="33"/>
      <c r="D187" s="33"/>
      <c r="E187" s="33"/>
    </row>
    <row r="188" spans="1:5" ht="12.75">
      <c r="A188" s="33"/>
      <c r="D188" s="33"/>
      <c r="E188" s="33"/>
    </row>
    <row r="189" spans="1:5" ht="12.75">
      <c r="A189" s="33"/>
      <c r="D189" s="33"/>
      <c r="E189" s="33"/>
    </row>
    <row r="190" spans="1:5" ht="12.75">
      <c r="A190" s="33"/>
      <c r="D190" s="33"/>
      <c r="E190" s="33"/>
    </row>
    <row r="191" spans="1:5" ht="12.75">
      <c r="A191" s="33"/>
      <c r="D191" s="33"/>
      <c r="E191" s="33"/>
    </row>
    <row r="192" spans="1:5" ht="12.75">
      <c r="A192" s="33"/>
      <c r="D192" s="33"/>
      <c r="E192" s="33"/>
    </row>
    <row r="193" spans="1:5" ht="12.75">
      <c r="A193" s="33"/>
      <c r="D193" s="33"/>
      <c r="E193" s="33"/>
    </row>
    <row r="194" spans="1:5" ht="12.75">
      <c r="A194" s="33"/>
      <c r="D194" s="33"/>
      <c r="E194" s="33"/>
    </row>
    <row r="195" spans="1:5" ht="12.75">
      <c r="A195" s="33"/>
      <c r="D195" s="33"/>
      <c r="E195" s="33"/>
    </row>
    <row r="196" spans="1:5" ht="12.75">
      <c r="A196" s="33"/>
      <c r="D196" s="33"/>
      <c r="E196" s="33"/>
    </row>
    <row r="197" spans="1:5" ht="12.75">
      <c r="A197" s="33"/>
      <c r="D197" s="33"/>
      <c r="E197" s="33"/>
    </row>
    <row r="198" spans="1:5" ht="12.75">
      <c r="A198" s="33"/>
      <c r="D198" s="33"/>
      <c r="E198" s="33"/>
    </row>
    <row r="199" spans="1:5" ht="12.75">
      <c r="A199" s="33"/>
      <c r="D199" s="33"/>
      <c r="E199" s="33"/>
    </row>
    <row r="200" spans="1:5" ht="12.75">
      <c r="A200" s="33"/>
      <c r="D200" s="33"/>
      <c r="E200" s="33"/>
    </row>
    <row r="201" spans="1:5" ht="12.75">
      <c r="A201" s="33"/>
      <c r="D201" s="33"/>
      <c r="E201" s="33"/>
    </row>
    <row r="202" spans="1:5" ht="12.75">
      <c r="A202" s="33"/>
      <c r="D202" s="33"/>
      <c r="E202" s="33"/>
    </row>
    <row r="203" spans="1:5" ht="12.75">
      <c r="A203" s="33"/>
      <c r="D203" s="33"/>
      <c r="E203" s="33"/>
    </row>
    <row r="204" spans="1:5" ht="12.75">
      <c r="A204" s="33"/>
      <c r="D204" s="33"/>
      <c r="E204" s="33"/>
    </row>
    <row r="205" spans="1:5" ht="12.75">
      <c r="A205" s="33"/>
      <c r="D205" s="33"/>
      <c r="E205" s="33"/>
    </row>
    <row r="206" spans="1:5" ht="12.75">
      <c r="A206" s="33"/>
      <c r="D206" s="33"/>
      <c r="E206" s="33"/>
    </row>
    <row r="207" spans="1:5" ht="12.75">
      <c r="A207" s="33"/>
      <c r="D207" s="33"/>
      <c r="E207" s="33"/>
    </row>
    <row r="208" spans="1:5" ht="12.75">
      <c r="A208" s="33"/>
      <c r="D208" s="33"/>
      <c r="E208" s="33"/>
    </row>
    <row r="209" spans="1:5" ht="12.75">
      <c r="A209" s="33"/>
      <c r="D209" s="33"/>
      <c r="E209" s="33"/>
    </row>
    <row r="210" spans="1:5" ht="12.75">
      <c r="A210" s="33"/>
      <c r="D210" s="33"/>
      <c r="E210" s="33"/>
    </row>
    <row r="211" spans="1:5" ht="12.75">
      <c r="A211" s="33"/>
      <c r="D211" s="33"/>
      <c r="E211" s="33"/>
    </row>
    <row r="212" spans="1:5" ht="12.75">
      <c r="A212" s="33"/>
      <c r="D212" s="33"/>
      <c r="E212" s="33"/>
    </row>
    <row r="213" spans="1:5" ht="12.75">
      <c r="A213" s="33"/>
      <c r="D213" s="33"/>
      <c r="E213" s="33"/>
    </row>
    <row r="214" spans="1:5" ht="12.75">
      <c r="A214" s="33"/>
      <c r="D214" s="33"/>
      <c r="E214" s="33"/>
    </row>
    <row r="215" spans="1:5" ht="12.75">
      <c r="A215" s="33"/>
      <c r="D215" s="33"/>
      <c r="E215" s="33"/>
    </row>
    <row r="216" spans="1:5" ht="12.75">
      <c r="A216" s="33"/>
      <c r="D216" s="33"/>
      <c r="E216" s="33"/>
    </row>
    <row r="217" spans="1:5" ht="12.75">
      <c r="A217" s="33"/>
      <c r="D217" s="33"/>
      <c r="E217" s="33"/>
    </row>
    <row r="218" spans="1:5" ht="12.75">
      <c r="A218" s="33"/>
      <c r="D218" s="33"/>
      <c r="E218" s="33"/>
    </row>
    <row r="219" spans="1:5" ht="12.75">
      <c r="A219" s="33"/>
      <c r="D219" s="33"/>
      <c r="E219" s="33"/>
    </row>
    <row r="220" spans="1:5" ht="12.75">
      <c r="A220" s="33"/>
      <c r="D220" s="33"/>
      <c r="E220" s="33"/>
    </row>
    <row r="221" spans="1:5" ht="12.75">
      <c r="A221" s="33"/>
      <c r="D221" s="33"/>
      <c r="E221" s="33"/>
    </row>
    <row r="222" spans="1:5" ht="12.75">
      <c r="A222" s="33"/>
      <c r="D222" s="33"/>
      <c r="E222" s="33"/>
    </row>
    <row r="223" spans="1:5" ht="12.75">
      <c r="A223" s="33"/>
      <c r="D223" s="33"/>
      <c r="E223" s="33"/>
    </row>
    <row r="224" spans="1:5" ht="12.75">
      <c r="A224" s="33"/>
      <c r="D224" s="33"/>
      <c r="E224" s="33"/>
    </row>
    <row r="225" spans="1:5" ht="12.75">
      <c r="A225" s="33"/>
      <c r="D225" s="33"/>
      <c r="E225" s="33"/>
    </row>
    <row r="226" spans="1:5" ht="12.75">
      <c r="A226" s="33"/>
      <c r="D226" s="33"/>
      <c r="E226" s="33"/>
    </row>
    <row r="227" spans="1:5" ht="12.75">
      <c r="A227" s="33"/>
      <c r="D227" s="33"/>
      <c r="E227" s="33"/>
    </row>
    <row r="228" spans="1:5" ht="12.75">
      <c r="A228" s="33"/>
      <c r="D228" s="33"/>
      <c r="E228" s="33"/>
    </row>
    <row r="229" spans="1:5" ht="12.75">
      <c r="A229" s="33"/>
      <c r="D229" s="33"/>
      <c r="E229" s="33"/>
    </row>
    <row r="230" spans="1:5" ht="12.75">
      <c r="A230" s="33"/>
      <c r="D230" s="33"/>
      <c r="E230" s="33"/>
    </row>
    <row r="231" spans="1:5" ht="12.75">
      <c r="A231" s="33"/>
      <c r="D231" s="33"/>
      <c r="E231" s="33"/>
    </row>
    <row r="232" spans="1:5" ht="12.75">
      <c r="A232" s="33"/>
      <c r="D232" s="33"/>
      <c r="E232" s="33"/>
    </row>
    <row r="233" spans="1:5" ht="12.75">
      <c r="A233" s="33"/>
      <c r="D233" s="33"/>
      <c r="E233" s="33"/>
    </row>
    <row r="234" spans="1:5" ht="12.75">
      <c r="A234" s="33"/>
      <c r="D234" s="33"/>
      <c r="E234" s="33"/>
    </row>
    <row r="235" spans="1:5" ht="12.75">
      <c r="A235" s="33"/>
      <c r="D235" s="33"/>
      <c r="E235" s="33"/>
    </row>
    <row r="236" spans="1:5" ht="12.75">
      <c r="A236" s="33"/>
      <c r="D236" s="33"/>
      <c r="E236" s="33"/>
    </row>
    <row r="237" spans="1:5" ht="12.75">
      <c r="A237" s="33"/>
      <c r="D237" s="33"/>
      <c r="E237" s="33"/>
    </row>
    <row r="238" spans="1:5" ht="12.75">
      <c r="A238" s="33"/>
      <c r="D238" s="33"/>
      <c r="E238" s="33"/>
    </row>
    <row r="239" spans="1:5" ht="12.75">
      <c r="A239" s="33"/>
      <c r="D239" s="33"/>
      <c r="E239" s="33"/>
    </row>
    <row r="240" spans="1:5" ht="12.75">
      <c r="A240" s="33"/>
      <c r="D240" s="33"/>
      <c r="E240" s="33"/>
    </row>
    <row r="241" spans="1:5" ht="12.75">
      <c r="A241" s="33"/>
      <c r="D241" s="33"/>
      <c r="E241" s="33"/>
    </row>
  </sheetData>
  <sheetProtection sheet="1" objects="1" scenarios="1" selectLockedCells="1"/>
  <mergeCells count="6">
    <mergeCell ref="A42:B42"/>
    <mergeCell ref="A33:B33"/>
    <mergeCell ref="B1:F1"/>
    <mergeCell ref="B2:F2"/>
    <mergeCell ref="B3:F3"/>
    <mergeCell ref="D4:F4"/>
  </mergeCells>
  <conditionalFormatting sqref="A8:A9">
    <cfRule type="expression" priority="1" dxfId="52" stopIfTrue="1">
      <formula>$B8&gt;0</formula>
    </cfRule>
  </conditionalFormatting>
  <conditionalFormatting sqref="A10:A11">
    <cfRule type="expression" priority="2" dxfId="53" stopIfTrue="1">
      <formula>AND($C$50&gt;8,$B10&gt;0)</formula>
    </cfRule>
  </conditionalFormatting>
  <conditionalFormatting sqref="A12:A15">
    <cfRule type="expression" priority="3" dxfId="53" stopIfTrue="1">
      <formula>AND($C$50&gt;16,$B12&gt;0)</formula>
    </cfRule>
  </conditionalFormatting>
  <conditionalFormatting sqref="C8:G32 B24:B32">
    <cfRule type="expression" priority="4" dxfId="34" stopIfTrue="1">
      <formula>AND($H8="",$C8&lt;&gt;"")</formula>
    </cfRule>
  </conditionalFormatting>
  <conditionalFormatting sqref="B8:B23">
    <cfRule type="expression" priority="5" dxfId="54" stopIfTrue="1">
      <formula>AND($B8&lt;&gt;0,COUNTIF($B$8:$B$39,$B8)&gt;1)</formula>
    </cfRule>
    <cfRule type="expression" priority="6" dxfId="34" stopIfTrue="1">
      <formula>AND($H8="",$C8&lt;&gt;"")</formula>
    </cfRule>
  </conditionalFormatting>
  <printOptions horizontalCentered="1"/>
  <pageMargins left="0.29" right="0.24" top="0.25" bottom="0.26" header="0.25" footer="0.26"/>
  <pageSetup fitToHeight="1" fitToWidth="1" horizontalDpi="600" verticalDpi="600" orientation="portrait" paperSize="9" scale="97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F100"/>
  <sheetViews>
    <sheetView showGridLines="0" showRowColHeaders="0" showZeros="0" tabSelected="1" zoomScalePageLayoutView="0" workbookViewId="0" topLeftCell="A1">
      <pane ySplit="10" topLeftCell="A11" activePane="bottomLeft" state="frozen"/>
      <selection pane="topLeft" activeCell="A1" sqref="A1"/>
      <selection pane="bottomLeft" activeCell="T28" sqref="T28:W28"/>
    </sheetView>
  </sheetViews>
  <sheetFormatPr defaultColWidth="9.00390625" defaultRowHeight="12.75"/>
  <cols>
    <col min="1" max="1" width="5.75390625" style="422" customWidth="1"/>
    <col min="2" max="2" width="6.875" style="422" customWidth="1"/>
    <col min="3" max="3" width="6.25390625" style="499" hidden="1" customWidth="1"/>
    <col min="4" max="4" width="14.75390625" style="432" customWidth="1"/>
    <col min="5" max="5" width="4.75390625" style="432" customWidth="1"/>
    <col min="6" max="6" width="12.00390625" style="432" customWidth="1"/>
    <col min="7" max="7" width="2.75390625" style="422" customWidth="1"/>
    <col min="8" max="9" width="7.75390625" style="422" customWidth="1"/>
    <col min="10" max="10" width="4.75390625" style="422" hidden="1" customWidth="1"/>
    <col min="11" max="11" width="2.75390625" style="422" customWidth="1"/>
    <col min="12" max="13" width="7.75390625" style="422" customWidth="1"/>
    <col min="14" max="14" width="4.75390625" style="422" hidden="1" customWidth="1"/>
    <col min="15" max="15" width="2.75390625" style="422" customWidth="1"/>
    <col min="16" max="17" width="7.75390625" style="432" customWidth="1"/>
    <col min="18" max="18" width="4.875" style="432" hidden="1" customWidth="1"/>
    <col min="19" max="19" width="2.75390625" style="432" customWidth="1"/>
    <col min="20" max="21" width="7.75390625" style="421" customWidth="1"/>
    <col min="22" max="22" width="4.75390625" style="421" customWidth="1"/>
    <col min="23" max="23" width="2.75390625" style="432" customWidth="1"/>
    <col min="24" max="24" width="10.125" style="422" customWidth="1"/>
    <col min="25" max="26" width="9.125" style="422" customWidth="1"/>
    <col min="27" max="32" width="12.25390625" style="348" hidden="1" customWidth="1"/>
    <col min="33" max="16384" width="9.125" style="422" customWidth="1"/>
  </cols>
  <sheetData>
    <row r="1" spans="1:23" ht="20.25" customHeight="1">
      <c r="A1" s="419"/>
      <c r="B1" s="419"/>
      <c r="C1" s="496"/>
      <c r="D1" s="649" t="s">
        <v>152</v>
      </c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420"/>
      <c r="W1" s="419"/>
    </row>
    <row r="2" spans="1:32" s="426" customFormat="1" ht="18" customHeight="1">
      <c r="A2" s="423"/>
      <c r="B2" s="423"/>
      <c r="C2" s="497"/>
      <c r="D2" s="655" t="str">
        <f>UPPER(Установка!C3)</f>
        <v>ТВД-ЛЕТНЕЕ ПЕРВЕНСТВО Г.КАЗАНИ</v>
      </c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424"/>
      <c r="V2" s="425"/>
      <c r="AA2" s="349"/>
      <c r="AB2" s="349"/>
      <c r="AC2" s="349"/>
      <c r="AD2" s="349"/>
      <c r="AE2" s="349"/>
      <c r="AF2" s="349"/>
    </row>
    <row r="3" spans="3:32" s="426" customFormat="1" ht="8.25" customHeight="1">
      <c r="C3" s="498"/>
      <c r="D3" s="656" t="s">
        <v>3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427"/>
      <c r="V3" s="427"/>
      <c r="W3" s="428"/>
      <c r="AA3" s="349"/>
      <c r="AB3" s="349"/>
      <c r="AC3" s="349"/>
      <c r="AD3" s="349"/>
      <c r="AE3" s="349"/>
      <c r="AF3" s="349"/>
    </row>
    <row r="4" spans="4:23" ht="11.25" customHeight="1">
      <c r="D4" s="657" t="s">
        <v>160</v>
      </c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430"/>
      <c r="V4" s="430"/>
      <c r="W4" s="431"/>
    </row>
    <row r="5" spans="8:22" ht="12" customHeight="1">
      <c r="H5" s="670" t="s">
        <v>8</v>
      </c>
      <c r="I5" s="670"/>
      <c r="J5" s="670"/>
      <c r="K5" s="670"/>
      <c r="L5" s="670"/>
      <c r="M5" s="672" t="str">
        <f>UPPER(Установка!C4)</f>
        <v>14 ЛЕТ И МОЛОЖЕ</v>
      </c>
      <c r="N5" s="672"/>
      <c r="O5" s="672"/>
      <c r="P5" s="672"/>
      <c r="Q5" s="672"/>
      <c r="R5" s="672"/>
      <c r="S5" s="433"/>
      <c r="T5" s="671" t="str">
        <f>IF(Установка!$C$5="","Ю/Д/М/Ж",UPPER(Установка!$C$5))</f>
        <v>ДЕВУШКИ</v>
      </c>
      <c r="U5" s="671"/>
      <c r="V5" s="671"/>
    </row>
    <row r="6" spans="1:32" s="439" customFormat="1" ht="21" customHeight="1">
      <c r="A6" s="434"/>
      <c r="B6" s="434"/>
      <c r="C6" s="500"/>
      <c r="D6" s="434" t="s">
        <v>4</v>
      </c>
      <c r="E6" s="669" t="str">
        <f>UPPER(Установка!C6)</f>
        <v>Г.КАЗАНЬ</v>
      </c>
      <c r="F6" s="669"/>
      <c r="G6" s="435"/>
      <c r="H6" s="673" t="s">
        <v>0</v>
      </c>
      <c r="I6" s="673"/>
      <c r="J6" s="673"/>
      <c r="K6" s="436"/>
      <c r="L6" s="601" t="str">
        <f>UPPER(Установка!C7)</f>
        <v>06.06-08.06.2014</v>
      </c>
      <c r="M6" s="601"/>
      <c r="N6" s="601"/>
      <c r="O6" s="437"/>
      <c r="P6" s="674" t="s">
        <v>28</v>
      </c>
      <c r="Q6" s="674"/>
      <c r="R6" s="674"/>
      <c r="S6" s="438"/>
      <c r="T6" s="669" t="str">
        <f>UPPER(Установка!C8)</f>
        <v>VГ</v>
      </c>
      <c r="U6" s="669"/>
      <c r="V6" s="669"/>
      <c r="W6" s="669"/>
      <c r="AA6" s="350"/>
      <c r="AB6" s="350"/>
      <c r="AC6" s="350"/>
      <c r="AD6" s="350"/>
      <c r="AE6" s="350"/>
      <c r="AF6" s="350"/>
    </row>
    <row r="7" spans="1:23" ht="18" customHeight="1">
      <c r="A7" s="419"/>
      <c r="B7" s="419"/>
      <c r="C7" s="501">
        <v>0</v>
      </c>
      <c r="D7" s="649" t="s">
        <v>9</v>
      </c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420"/>
      <c r="V7" s="419"/>
      <c r="W7" s="419"/>
    </row>
    <row r="8" spans="1:23" ht="6" customHeight="1">
      <c r="A8" s="658" t="s">
        <v>10</v>
      </c>
      <c r="B8" s="661" t="s">
        <v>11</v>
      </c>
      <c r="C8" s="664">
        <f>MAX(C11:C42)+1</f>
        <v>12</v>
      </c>
      <c r="D8" s="667" t="s">
        <v>52</v>
      </c>
      <c r="E8" s="653" t="s">
        <v>63</v>
      </c>
      <c r="F8" s="653" t="s">
        <v>25</v>
      </c>
      <c r="G8" s="440"/>
      <c r="H8" s="441"/>
      <c r="I8" s="441"/>
      <c r="J8" s="442"/>
      <c r="K8" s="442"/>
      <c r="L8" s="442"/>
      <c r="M8" s="442"/>
      <c r="N8" s="442"/>
      <c r="O8" s="442"/>
      <c r="P8" s="443"/>
      <c r="Q8" s="443"/>
      <c r="R8" s="443"/>
      <c r="S8" s="443"/>
      <c r="T8" s="444"/>
      <c r="U8" s="444"/>
      <c r="V8" s="444"/>
      <c r="W8" s="443"/>
    </row>
    <row r="9" spans="1:32" ht="10.5" customHeight="1">
      <c r="A9" s="659"/>
      <c r="B9" s="662"/>
      <c r="C9" s="665"/>
      <c r="D9" s="667"/>
      <c r="E9" s="653"/>
      <c r="F9" s="653"/>
      <c r="G9" s="440"/>
      <c r="H9" s="445"/>
      <c r="I9" s="652" t="s">
        <v>12</v>
      </c>
      <c r="J9" s="652"/>
      <c r="K9" s="652"/>
      <c r="L9" s="652"/>
      <c r="M9" s="652" t="s">
        <v>13</v>
      </c>
      <c r="N9" s="652"/>
      <c r="O9" s="652"/>
      <c r="P9" s="652"/>
      <c r="Q9" s="652" t="s">
        <v>14</v>
      </c>
      <c r="R9" s="652"/>
      <c r="S9" s="652"/>
      <c r="T9" s="652"/>
      <c r="U9" s="650"/>
      <c r="V9" s="650"/>
      <c r="W9" s="650"/>
      <c r="X9" s="650"/>
      <c r="AA9" s="675" t="s">
        <v>129</v>
      </c>
      <c r="AB9" s="675" t="s">
        <v>125</v>
      </c>
      <c r="AC9" s="675" t="s">
        <v>128</v>
      </c>
      <c r="AD9" s="675" t="s">
        <v>126</v>
      </c>
      <c r="AE9" s="675" t="s">
        <v>127</v>
      </c>
      <c r="AF9" s="675" t="s">
        <v>130</v>
      </c>
    </row>
    <row r="10" spans="1:32" s="448" customFormat="1" ht="10.5" customHeight="1">
      <c r="A10" s="660"/>
      <c r="B10" s="663"/>
      <c r="C10" s="666"/>
      <c r="D10" s="668"/>
      <c r="E10" s="654"/>
      <c r="F10" s="654"/>
      <c r="G10" s="446"/>
      <c r="H10" s="447"/>
      <c r="I10" s="651" t="s">
        <v>15</v>
      </c>
      <c r="J10" s="651"/>
      <c r="K10" s="651"/>
      <c r="L10" s="651"/>
      <c r="M10" s="651" t="s">
        <v>15</v>
      </c>
      <c r="N10" s="651"/>
      <c r="O10" s="651"/>
      <c r="P10" s="651"/>
      <c r="Q10" s="651"/>
      <c r="R10" s="651"/>
      <c r="S10" s="651"/>
      <c r="T10" s="651"/>
      <c r="U10" s="650"/>
      <c r="V10" s="650"/>
      <c r="W10" s="650"/>
      <c r="X10" s="650"/>
      <c r="AA10" s="675"/>
      <c r="AB10" s="675"/>
      <c r="AC10" s="675"/>
      <c r="AD10" s="675"/>
      <c r="AE10" s="675"/>
      <c r="AF10" s="675"/>
    </row>
    <row r="11" spans="1:32" s="448" customFormat="1" ht="24" customHeight="1">
      <c r="A11" s="621" t="str">
        <f>IF($C11="","1",IF(AND($C11&gt;=1,$C11&lt;17),INDEX(ПодгОТ!$P$8:$P$23,C11),""))</f>
        <v>1 </v>
      </c>
      <c r="B11" s="623">
        <v>1</v>
      </c>
      <c r="C11" s="625">
        <v>1</v>
      </c>
      <c r="D11" s="627" t="str">
        <f>IF($C11="","",IF(AND($C11&gt;=1,$C11&lt;17),VLOOKUP($C11,ПодгОТ!$A$8:$AA$23,27),"Х"))</f>
        <v>ШАКИРОВА</v>
      </c>
      <c r="E11" s="616" t="str">
        <f>IF(AND($C11&gt;=1,$C11&lt;17),VLOOKUP($C11,ПодгОТ!$A$8:$P$23,15),"")</f>
        <v>Д.Э.</v>
      </c>
      <c r="F11" s="616" t="str">
        <f>IF(AND($C11&gt;=1,$C11&lt;17),VLOOKUP($C11,ПодгОТ!$A$8:$P$23,6),"")</f>
        <v>Казань</v>
      </c>
      <c r="G11" s="449"/>
      <c r="H11" s="450"/>
      <c r="I11" s="450"/>
      <c r="J11" s="451"/>
      <c r="K11" s="452"/>
      <c r="L11" s="451"/>
      <c r="M11" s="451"/>
      <c r="N11" s="451"/>
      <c r="O11" s="452"/>
      <c r="P11" s="453"/>
      <c r="Q11" s="453"/>
      <c r="R11" s="453"/>
      <c r="S11" s="453"/>
      <c r="T11" s="453"/>
      <c r="U11" s="453"/>
      <c r="V11" s="453"/>
      <c r="W11" s="453"/>
      <c r="AA11" s="351"/>
      <c r="AB11" s="351"/>
      <c r="AC11" s="351"/>
      <c r="AD11" s="351"/>
      <c r="AE11" s="351"/>
      <c r="AF11" s="351"/>
    </row>
    <row r="12" spans="1:32" s="430" customFormat="1" ht="24" customHeight="1">
      <c r="A12" s="647"/>
      <c r="B12" s="624"/>
      <c r="C12" s="626"/>
      <c r="D12" s="628"/>
      <c r="E12" s="617"/>
      <c r="F12" s="637"/>
      <c r="G12" s="629" t="str">
        <f>IF(G14=0,CONCATENATE("поб.",D11,"/",D13),IF(G14=1,D11,IF(G14=2,D13,"Х")))</f>
        <v>ШАКИРОВА</v>
      </c>
      <c r="H12" s="648"/>
      <c r="I12" s="648"/>
      <c r="J12" s="631" t="str">
        <f>IF(G14=1,E11,IF(G14=2,E13,""))</f>
        <v>Д.Э.</v>
      </c>
      <c r="K12" s="454"/>
      <c r="L12" s="607"/>
      <c r="M12" s="607"/>
      <c r="N12" s="607"/>
      <c r="O12" s="456"/>
      <c r="P12" s="608"/>
      <c r="Q12" s="608"/>
      <c r="R12" s="608"/>
      <c r="S12" s="457"/>
      <c r="T12" s="608"/>
      <c r="U12" s="608"/>
      <c r="V12" s="608"/>
      <c r="W12" s="646"/>
      <c r="X12" s="458"/>
      <c r="AA12" s="352"/>
      <c r="AB12" s="352"/>
      <c r="AC12" s="352"/>
      <c r="AD12" s="352"/>
      <c r="AE12" s="352"/>
      <c r="AF12" s="352"/>
    </row>
    <row r="13" spans="1:32" s="430" customFormat="1" ht="24" customHeight="1">
      <c r="A13" s="621">
        <f>IF($C13="","",IF(AND($C13&gt;=1,$C13&lt;17),INDEX(ПодгОТ!$P$8:$P$23,C13),""))</f>
      </c>
      <c r="B13" s="623">
        <v>2</v>
      </c>
      <c r="C13" s="634"/>
      <c r="D13" s="636" t="s">
        <v>181</v>
      </c>
      <c r="E13" s="616">
        <f>IF(AND($C13&gt;=1,$C13&lt;17),VLOOKUP($C13,ПодгОТ!$A$8:$P$23,15),"")</f>
      </c>
      <c r="F13" s="618">
        <f>IF(AND($C13&gt;=1,$C13&lt;17),VLOOKUP($C13,ПодгОТ!$A$8:$P$23,6),"")</f>
      </c>
      <c r="G13" s="617"/>
      <c r="H13" s="617"/>
      <c r="I13" s="617"/>
      <c r="J13" s="632"/>
      <c r="K13" s="454"/>
      <c r="L13" s="607"/>
      <c r="M13" s="607"/>
      <c r="N13" s="607"/>
      <c r="O13" s="456"/>
      <c r="P13" s="608"/>
      <c r="Q13" s="608"/>
      <c r="R13" s="608"/>
      <c r="S13" s="457"/>
      <c r="T13" s="608"/>
      <c r="U13" s="608"/>
      <c r="V13" s="608"/>
      <c r="W13" s="646"/>
      <c r="X13" s="458"/>
      <c r="AA13" s="352"/>
      <c r="AB13" s="352"/>
      <c r="AC13" s="352"/>
      <c r="AD13" s="352"/>
      <c r="AE13" s="352"/>
      <c r="AF13" s="352"/>
    </row>
    <row r="14" spans="1:32" s="430" customFormat="1" ht="24" customHeight="1">
      <c r="A14" s="647"/>
      <c r="B14" s="624"/>
      <c r="C14" s="635"/>
      <c r="D14" s="628"/>
      <c r="E14" s="617"/>
      <c r="F14" s="619"/>
      <c r="G14" s="105">
        <v>1</v>
      </c>
      <c r="H14" s="606"/>
      <c r="I14" s="606"/>
      <c r="J14" s="638"/>
      <c r="K14" s="639" t="str">
        <f>IF(K16=0,CONCATENATE("поб.",G12,"/",G16),IF(K16=1,G12,IF(K16=2,G16,"Х")))</f>
        <v>ЕВСЕЕВА</v>
      </c>
      <c r="L14" s="629"/>
      <c r="M14" s="629"/>
      <c r="N14" s="631" t="str">
        <f>IF(K16=1,J12,IF(K16=2,J16,""))</f>
        <v>Д.Д.</v>
      </c>
      <c r="O14" s="454"/>
      <c r="P14" s="608"/>
      <c r="Q14" s="608"/>
      <c r="R14" s="608"/>
      <c r="S14" s="457"/>
      <c r="T14" s="608"/>
      <c r="U14" s="608"/>
      <c r="V14" s="608"/>
      <c r="W14" s="646"/>
      <c r="X14" s="458"/>
      <c r="AA14" s="352">
        <f>IF(OR(G14=3,G14=0),0,(IF(G14=1,C11,C13)))</f>
        <v>1</v>
      </c>
      <c r="AB14" s="352">
        <f>IF(OR(G14=3,G14=0),0,(IF(G14=1,C13,C11)))</f>
        <v>0</v>
      </c>
      <c r="AC14" s="352"/>
      <c r="AD14" s="352"/>
      <c r="AE14" s="352"/>
      <c r="AF14" s="352"/>
    </row>
    <row r="15" spans="1:32" s="430" customFormat="1" ht="24" customHeight="1">
      <c r="A15" s="621">
        <f>IF($C15="","",IF(AND($C15&gt;=1,$C15&lt;17),INDEX(ПодгОТ!$P$8:$P$23,C15),""))</f>
      </c>
      <c r="B15" s="623">
        <v>3</v>
      </c>
      <c r="C15" s="634">
        <v>8</v>
      </c>
      <c r="D15" s="627" t="str">
        <f>IF($C15="","",IF(AND($C15&gt;=1,$C15&lt;17),VLOOKUP($C15,ПодгОТ!$A$8:$AA$23,27),"Х"))</f>
        <v>ЕВСЕЕВА</v>
      </c>
      <c r="E15" s="616" t="str">
        <f>IF(AND($C15&gt;=1,$C15&lt;17),VLOOKUP($C15,ПодгОТ!$A$8:$P$23,15),"")</f>
        <v>Д.Д.</v>
      </c>
      <c r="F15" s="616" t="str">
        <f>IF(AND($C15&gt;=1,$C15&lt;17),VLOOKUP($C15,ПодгОТ!$A$8:$P$23,6),"")</f>
        <v>Казань</v>
      </c>
      <c r="G15" s="460"/>
      <c r="H15" s="599"/>
      <c r="I15" s="599"/>
      <c r="J15" s="641"/>
      <c r="K15" s="640"/>
      <c r="L15" s="630"/>
      <c r="M15" s="630"/>
      <c r="N15" s="632"/>
      <c r="O15" s="454"/>
      <c r="P15" s="608"/>
      <c r="Q15" s="608"/>
      <c r="R15" s="608"/>
      <c r="S15" s="457"/>
      <c r="T15" s="608"/>
      <c r="U15" s="608"/>
      <c r="V15" s="608"/>
      <c r="W15" s="646"/>
      <c r="X15" s="458"/>
      <c r="AA15" s="352"/>
      <c r="AB15" s="352"/>
      <c r="AC15" s="352"/>
      <c r="AD15" s="352"/>
      <c r="AE15" s="352"/>
      <c r="AF15" s="352"/>
    </row>
    <row r="16" spans="1:32" s="430" customFormat="1" ht="24" customHeight="1">
      <c r="A16" s="622"/>
      <c r="B16" s="624"/>
      <c r="C16" s="635"/>
      <c r="D16" s="628"/>
      <c r="E16" s="617"/>
      <c r="F16" s="637"/>
      <c r="G16" s="629" t="str">
        <f>IF(G18=0,CONCATENATE("поб.",D15,"/",D17),IF(G18=1,D15,IF(G18=2,D17,"Х")))</f>
        <v>ЕВСЕЕВА</v>
      </c>
      <c r="H16" s="629"/>
      <c r="I16" s="629"/>
      <c r="J16" s="631" t="str">
        <f>IF(G18=1,E15,IF(G18=2,E17,""))</f>
        <v>Д.Д.</v>
      </c>
      <c r="K16" s="492">
        <v>2</v>
      </c>
      <c r="L16" s="633" t="s">
        <v>191</v>
      </c>
      <c r="M16" s="606"/>
      <c r="N16" s="638"/>
      <c r="O16" s="462"/>
      <c r="P16" s="608"/>
      <c r="Q16" s="608"/>
      <c r="R16" s="608"/>
      <c r="S16" s="457"/>
      <c r="T16" s="608"/>
      <c r="U16" s="608"/>
      <c r="V16" s="608"/>
      <c r="W16" s="646"/>
      <c r="X16" s="458"/>
      <c r="AA16" s="352"/>
      <c r="AB16" s="352"/>
      <c r="AC16" s="352">
        <f>IF(OR(K16=0,K16=3),0,IF(K16=1,AA14,AA18))</f>
        <v>8</v>
      </c>
      <c r="AD16" s="352">
        <f>IF(OR(K16=0,K16=3),0,IF(K16=1,AA18,AA14))</f>
        <v>1</v>
      </c>
      <c r="AE16" s="352"/>
      <c r="AF16" s="352"/>
    </row>
    <row r="17" spans="1:32" s="430" customFormat="1" ht="24" customHeight="1">
      <c r="A17" s="621">
        <f>IF($C17="","",IF(AND($C17&gt;=1,$C17&lt;17),INDEX(ПодгОТ!$P$8:$P$23,C17),""))</f>
      </c>
      <c r="B17" s="623">
        <v>4</v>
      </c>
      <c r="C17" s="634"/>
      <c r="D17" s="636" t="s">
        <v>181</v>
      </c>
      <c r="E17" s="616">
        <f>IF(AND($C17&gt;=1,$C17&lt;17),VLOOKUP($C17,ПодгОТ!$A$8:$P$23,15),"")</f>
      </c>
      <c r="F17" s="618">
        <f>IF(AND($C17&gt;=1,$C17&lt;17),VLOOKUP($C17,ПодгОТ!$A$8:$P$23,6),"")</f>
      </c>
      <c r="G17" s="630"/>
      <c r="H17" s="630"/>
      <c r="I17" s="630"/>
      <c r="J17" s="632"/>
      <c r="K17" s="459"/>
      <c r="L17" s="599"/>
      <c r="M17" s="599"/>
      <c r="N17" s="641"/>
      <c r="O17" s="462"/>
      <c r="P17" s="608"/>
      <c r="Q17" s="608"/>
      <c r="R17" s="608"/>
      <c r="S17" s="457"/>
      <c r="T17" s="608"/>
      <c r="U17" s="608"/>
      <c r="V17" s="608"/>
      <c r="W17" s="646"/>
      <c r="X17" s="458"/>
      <c r="AA17" s="352"/>
      <c r="AB17" s="352"/>
      <c r="AC17" s="352"/>
      <c r="AD17" s="352"/>
      <c r="AE17" s="352"/>
      <c r="AF17" s="352"/>
    </row>
    <row r="18" spans="1:32" s="430" customFormat="1" ht="24" customHeight="1">
      <c r="A18" s="622"/>
      <c r="B18" s="624"/>
      <c r="C18" s="635"/>
      <c r="D18" s="628"/>
      <c r="E18" s="617"/>
      <c r="F18" s="619"/>
      <c r="G18" s="105">
        <v>1</v>
      </c>
      <c r="H18" s="606"/>
      <c r="I18" s="606"/>
      <c r="J18" s="606"/>
      <c r="K18" s="461"/>
      <c r="L18" s="607"/>
      <c r="M18" s="607"/>
      <c r="N18" s="642"/>
      <c r="O18" s="639" t="str">
        <f>IF(O20=0,CONCATENATE("поб.",K14,"/",K22),IF(O20=1,K14,IF(O20=2,K22,"Х")))</f>
        <v>ЕВСЕЕВА</v>
      </c>
      <c r="P18" s="629"/>
      <c r="Q18" s="629"/>
      <c r="R18" s="631" t="str">
        <f>IF(O20=1,N14,IF(O20=2,N22,""))</f>
        <v>Д.Д.</v>
      </c>
      <c r="S18" s="454"/>
      <c r="T18" s="608"/>
      <c r="U18" s="608"/>
      <c r="V18" s="608"/>
      <c r="W18" s="646"/>
      <c r="X18" s="458"/>
      <c r="AA18" s="352">
        <f>IF(OR(G18=3,G18=0),0,(IF(G18=1,C15,C17)))</f>
        <v>8</v>
      </c>
      <c r="AB18" s="352">
        <f>IF(OR(G18=3,G18=0),0,(IF(G18=1,C17,C15)))</f>
        <v>0</v>
      </c>
      <c r="AC18" s="352"/>
      <c r="AD18" s="352"/>
      <c r="AE18" s="352"/>
      <c r="AF18" s="352"/>
    </row>
    <row r="19" spans="1:32" s="430" customFormat="1" ht="24" customHeight="1">
      <c r="A19" s="621" t="str">
        <f>IF($C19="","3 или 4",IF(AND($C19&gt;=1,$C19&lt;17),INDEX(ПодгОТ!$P$8:$P$23,C19),""))</f>
        <v>3 </v>
      </c>
      <c r="B19" s="623">
        <v>5</v>
      </c>
      <c r="C19" s="625">
        <v>3</v>
      </c>
      <c r="D19" s="627" t="str">
        <f>IF($C19="","",IF(AND($C19&gt;=1,$C19&lt;17),VLOOKUP($C19,ПодгОТ!$A$8:$AA$23,27),"Х"))</f>
        <v>МИФТАХОВА</v>
      </c>
      <c r="E19" s="616" t="str">
        <f>IF(AND($C19&gt;=1,$C19&lt;17),VLOOKUP($C19,ПодгОТ!$A$8:$P$23,15),"")</f>
        <v>А.Р.</v>
      </c>
      <c r="F19" s="616" t="str">
        <f>IF(AND($C19&gt;=1,$C19&lt;17),VLOOKUP($C19,ПодгОТ!$A$8:$P$23,6),"")</f>
        <v>Сургут</v>
      </c>
      <c r="G19" s="460"/>
      <c r="H19" s="599"/>
      <c r="I19" s="599"/>
      <c r="J19" s="599"/>
      <c r="K19" s="461"/>
      <c r="L19" s="607"/>
      <c r="M19" s="607"/>
      <c r="N19" s="642"/>
      <c r="O19" s="640"/>
      <c r="P19" s="630"/>
      <c r="Q19" s="630"/>
      <c r="R19" s="632"/>
      <c r="S19" s="454"/>
      <c r="T19" s="608"/>
      <c r="U19" s="608"/>
      <c r="V19" s="608"/>
      <c r="W19" s="608"/>
      <c r="X19" s="458"/>
      <c r="AA19" s="352"/>
      <c r="AB19" s="352"/>
      <c r="AC19" s="352"/>
      <c r="AD19" s="352"/>
      <c r="AE19" s="352"/>
      <c r="AF19" s="352"/>
    </row>
    <row r="20" spans="1:32" s="430" customFormat="1" ht="24" customHeight="1">
      <c r="A20" s="622"/>
      <c r="B20" s="624"/>
      <c r="C20" s="626"/>
      <c r="D20" s="628"/>
      <c r="E20" s="617"/>
      <c r="F20" s="637"/>
      <c r="G20" s="629" t="str">
        <f>IF(G22=0,CONCATENATE("поб.",D19,"/",D21),IF(G22=1,D19,IF(G22=2,D21,"Х")))</f>
        <v>МИФТАХОВА</v>
      </c>
      <c r="H20" s="629"/>
      <c r="I20" s="629"/>
      <c r="J20" s="631" t="str">
        <f>IF(G22=1,E19,IF(G22=2,E21,""))</f>
        <v>А.Р.</v>
      </c>
      <c r="K20" s="454"/>
      <c r="L20" s="607"/>
      <c r="M20" s="607"/>
      <c r="N20" s="642"/>
      <c r="O20" s="492">
        <v>1</v>
      </c>
      <c r="P20" s="633" t="s">
        <v>192</v>
      </c>
      <c r="Q20" s="606"/>
      <c r="R20" s="638"/>
      <c r="S20" s="462"/>
      <c r="T20" s="608"/>
      <c r="U20" s="608"/>
      <c r="V20" s="608"/>
      <c r="W20" s="608"/>
      <c r="X20" s="458"/>
      <c r="AA20" s="352"/>
      <c r="AB20" s="352"/>
      <c r="AC20" s="352"/>
      <c r="AD20" s="352"/>
      <c r="AE20" s="352">
        <f>IF(OR(O20=0,O20=3),0,IF(O20=1,AC16,AC24))</f>
        <v>8</v>
      </c>
      <c r="AF20" s="352">
        <f>IF(OR(O20=0,O20=3),0,IF(O20=1,AC24,AC16))</f>
        <v>3</v>
      </c>
    </row>
    <row r="21" spans="1:32" s="430" customFormat="1" ht="24" customHeight="1">
      <c r="A21" s="621">
        <f>IF($C21="","",IF(AND($C21&gt;=1,$C21&lt;17),INDEX(ПодгОТ!$P$8:$P$23,C21),""))</f>
      </c>
      <c r="B21" s="623">
        <v>6</v>
      </c>
      <c r="C21" s="634"/>
      <c r="D21" s="636" t="s">
        <v>181</v>
      </c>
      <c r="E21" s="616">
        <f>IF(AND($C21&gt;=1,$C21&lt;17),VLOOKUP($C21,ПодгОТ!$A$8:$P$23,15),"")</f>
      </c>
      <c r="F21" s="618">
        <f>IF(AND($C21&gt;=1,$C21&lt;17),VLOOKUP($C21,ПодгОТ!$A$8:$P$23,6),"")</f>
      </c>
      <c r="G21" s="630"/>
      <c r="H21" s="630"/>
      <c r="I21" s="630"/>
      <c r="J21" s="632"/>
      <c r="K21" s="454"/>
      <c r="L21" s="607"/>
      <c r="M21" s="607"/>
      <c r="N21" s="642"/>
      <c r="O21" s="463"/>
      <c r="P21" s="599"/>
      <c r="Q21" s="599"/>
      <c r="R21" s="641"/>
      <c r="S21" s="462"/>
      <c r="T21" s="608"/>
      <c r="U21" s="608"/>
      <c r="V21" s="608"/>
      <c r="W21" s="608"/>
      <c r="X21" s="458"/>
      <c r="AA21" s="352"/>
      <c r="AB21" s="352"/>
      <c r="AC21" s="352"/>
      <c r="AD21" s="352"/>
      <c r="AE21" s="352"/>
      <c r="AF21" s="352"/>
    </row>
    <row r="22" spans="1:32" s="430" customFormat="1" ht="24" customHeight="1">
      <c r="A22" s="622"/>
      <c r="B22" s="624"/>
      <c r="C22" s="635"/>
      <c r="D22" s="628"/>
      <c r="E22" s="617"/>
      <c r="F22" s="619"/>
      <c r="G22" s="105">
        <v>1</v>
      </c>
      <c r="H22" s="606"/>
      <c r="I22" s="606"/>
      <c r="J22" s="638"/>
      <c r="K22" s="639" t="str">
        <f>IF(K24=0,CONCATENATE("поб.",G20,"/",G24),IF(K24=1,G20,IF(K24=2,G24,"Х")))</f>
        <v>МИФТАХОВА</v>
      </c>
      <c r="L22" s="629"/>
      <c r="M22" s="629"/>
      <c r="N22" s="631" t="str">
        <f>IF(K24=1,J20,IF(K24=2,J24,""))</f>
        <v>А.Р.</v>
      </c>
      <c r="O22" s="459"/>
      <c r="P22" s="607"/>
      <c r="Q22" s="607"/>
      <c r="R22" s="643"/>
      <c r="S22" s="464"/>
      <c r="T22" s="608"/>
      <c r="U22" s="608"/>
      <c r="V22" s="608"/>
      <c r="W22" s="608"/>
      <c r="X22" s="458"/>
      <c r="AA22" s="352">
        <f>IF(OR(G22=3,G22=0),0,(IF(G22=1,C19,C21)))</f>
        <v>3</v>
      </c>
      <c r="AB22" s="352">
        <f>IF(OR(G22=3,G22=0),0,(IF(G22=1,C21,C19)))</f>
        <v>0</v>
      </c>
      <c r="AC22" s="352"/>
      <c r="AD22" s="352"/>
      <c r="AE22" s="352"/>
      <c r="AF22" s="352"/>
    </row>
    <row r="23" spans="1:32" s="430" customFormat="1" ht="24" customHeight="1">
      <c r="A23" s="621">
        <f>IF($C23="","",IF(AND($C23&gt;=1,$C23&lt;17),INDEX(ПодгОТ!$P$8:$P$23,C23),""))</f>
      </c>
      <c r="B23" s="623">
        <v>7</v>
      </c>
      <c r="C23" s="634">
        <v>6</v>
      </c>
      <c r="D23" s="627" t="str">
        <f>IF($C23="","",IF(AND($C23&gt;=1,$C23&lt;17),VLOOKUP($C23,ПодгОТ!$A$8:$AA$23,27),"Х"))</f>
        <v>СУНГАТУЛЛИНА</v>
      </c>
      <c r="E23" s="616" t="str">
        <f>IF(AND($C23&gt;=1,$C23&lt;17),VLOOKUP($C23,ПодгОТ!$A$8:$P$23,15),"")</f>
        <v>Э.Э.</v>
      </c>
      <c r="F23" s="616" t="str">
        <f>IF(AND($C23&gt;=1,$C23&lt;17),VLOOKUP($C23,ПодгОТ!$A$8:$P$23,6),"")</f>
        <v>Казань</v>
      </c>
      <c r="G23" s="460"/>
      <c r="H23" s="599"/>
      <c r="I23" s="599"/>
      <c r="J23" s="641"/>
      <c r="K23" s="640"/>
      <c r="L23" s="630"/>
      <c r="M23" s="630"/>
      <c r="N23" s="632"/>
      <c r="O23" s="459"/>
      <c r="P23" s="608"/>
      <c r="Q23" s="608"/>
      <c r="R23" s="643"/>
      <c r="S23" s="464"/>
      <c r="T23" s="608"/>
      <c r="U23" s="608"/>
      <c r="V23" s="608"/>
      <c r="W23" s="608"/>
      <c r="X23" s="458"/>
      <c r="AA23" s="352"/>
      <c r="AB23" s="352"/>
      <c r="AC23" s="352"/>
      <c r="AD23" s="352"/>
      <c r="AE23" s="352"/>
      <c r="AF23" s="352"/>
    </row>
    <row r="24" spans="1:32" s="430" customFormat="1" ht="24" customHeight="1">
      <c r="A24" s="622"/>
      <c r="B24" s="624"/>
      <c r="C24" s="635"/>
      <c r="D24" s="628"/>
      <c r="E24" s="617"/>
      <c r="F24" s="637"/>
      <c r="G24" s="629" t="str">
        <f>IF(G26=0,CONCATENATE("поб.",D23,"/",D25),IF(G26=1,D23,IF(G26=2,D25,"Х")))</f>
        <v>ШИМАРИНА</v>
      </c>
      <c r="H24" s="629"/>
      <c r="I24" s="629"/>
      <c r="J24" s="631" t="str">
        <f>IF(G26=1,E23,IF(G26=2,E25,""))</f>
        <v>Л.С.</v>
      </c>
      <c r="K24" s="492">
        <v>1</v>
      </c>
      <c r="L24" s="633" t="s">
        <v>189</v>
      </c>
      <c r="M24" s="606"/>
      <c r="N24" s="606"/>
      <c r="O24" s="461"/>
      <c r="P24" s="608"/>
      <c r="Q24" s="608"/>
      <c r="R24" s="643"/>
      <c r="S24" s="464"/>
      <c r="T24" s="608"/>
      <c r="U24" s="608"/>
      <c r="V24" s="608"/>
      <c r="W24" s="608"/>
      <c r="X24" s="458"/>
      <c r="AA24" s="352"/>
      <c r="AB24" s="352"/>
      <c r="AC24" s="352">
        <f>IF(OR(K24=0,K24=3),0,IF(K24=1,AA22,AA26))</f>
        <v>3</v>
      </c>
      <c r="AD24" s="352">
        <f>IF(OR(K24=0,K24=3),0,IF(K24=1,AA26,AA22))</f>
        <v>9</v>
      </c>
      <c r="AE24" s="352"/>
      <c r="AF24" s="352"/>
    </row>
    <row r="25" spans="1:32" s="430" customFormat="1" ht="24" customHeight="1">
      <c r="A25" s="621">
        <f>IF($C25="","",IF(AND($C25&gt;=1,$C25&lt;17),INDEX(ПодгОТ!$P$8:$P$23,C25),""))</f>
      </c>
      <c r="B25" s="623">
        <v>8</v>
      </c>
      <c r="C25" s="634">
        <v>9</v>
      </c>
      <c r="D25" s="627" t="str">
        <f>IF($C25="","",IF(AND($C25&gt;=1,$C25&lt;17),VLOOKUP($C25,ПодгОТ!$A$8:$AA$23,27),"Х"))</f>
        <v>ШИМАРИНА</v>
      </c>
      <c r="E25" s="616" t="str">
        <f>IF(AND($C25&gt;=1,$C25&lt;17),VLOOKUP($C25,ПодгОТ!$A$8:$P$23,15),"")</f>
        <v>Л.С.</v>
      </c>
      <c r="F25" s="618" t="str">
        <f>IF(AND($C25&gt;=1,$C25&lt;17),VLOOKUP($C25,ПодгОТ!$A$8:$P$23,6),"")</f>
        <v>Казань</v>
      </c>
      <c r="G25" s="630"/>
      <c r="H25" s="630"/>
      <c r="I25" s="630"/>
      <c r="J25" s="632"/>
      <c r="K25" s="459"/>
      <c r="L25" s="599"/>
      <c r="M25" s="599"/>
      <c r="N25" s="599"/>
      <c r="O25" s="461"/>
      <c r="P25" s="608"/>
      <c r="Q25" s="608"/>
      <c r="R25" s="643"/>
      <c r="S25" s="464"/>
      <c r="T25" s="608"/>
      <c r="U25" s="608"/>
      <c r="V25" s="608"/>
      <c r="W25" s="608"/>
      <c r="X25" s="458"/>
      <c r="AA25" s="352"/>
      <c r="AB25" s="352"/>
      <c r="AC25" s="352"/>
      <c r="AD25" s="352"/>
      <c r="AE25" s="352"/>
      <c r="AF25" s="352"/>
    </row>
    <row r="26" spans="1:32" s="430" customFormat="1" ht="24" customHeight="1">
      <c r="A26" s="622"/>
      <c r="B26" s="624"/>
      <c r="C26" s="635"/>
      <c r="D26" s="628"/>
      <c r="E26" s="617"/>
      <c r="F26" s="619"/>
      <c r="G26" s="105">
        <v>2</v>
      </c>
      <c r="H26" s="633" t="s">
        <v>187</v>
      </c>
      <c r="I26" s="606"/>
      <c r="J26" s="606"/>
      <c r="K26" s="461"/>
      <c r="L26" s="607"/>
      <c r="M26" s="607"/>
      <c r="N26" s="607"/>
      <c r="O26" s="456"/>
      <c r="P26" s="608"/>
      <c r="Q26" s="608"/>
      <c r="R26" s="643"/>
      <c r="S26" s="644" t="str">
        <f>IF(S28=0,CONCATENATE("поб.",O18,"/",O34),IF(S28=1,O18,IF(S28=2,O34,"Х")))</f>
        <v>ЕВСЕЕВА</v>
      </c>
      <c r="T26" s="631"/>
      <c r="U26" s="631"/>
      <c r="V26" s="631"/>
      <c r="W26" s="631"/>
      <c r="X26" s="458"/>
      <c r="AA26" s="352">
        <f>IF(OR(G26=3,G26=0),0,(IF(G26=1,C23,C25)))</f>
        <v>9</v>
      </c>
      <c r="AB26" s="352">
        <f>IF(OR(G26=3,G26=0),0,(IF(G26=1,C25,C23)))</f>
        <v>6</v>
      </c>
      <c r="AC26" s="352"/>
      <c r="AD26" s="352"/>
      <c r="AE26" s="352"/>
      <c r="AF26" s="352"/>
    </row>
    <row r="27" spans="1:32" s="430" customFormat="1" ht="24" customHeight="1">
      <c r="A27" s="621">
        <f>IF($C27="","",IF(AND($C27&gt;=1,$C27&lt;17),INDEX(ПодгОТ!$P$8:$P$23,C27),""))</f>
      </c>
      <c r="B27" s="623">
        <v>9</v>
      </c>
      <c r="C27" s="634">
        <v>10</v>
      </c>
      <c r="D27" s="627" t="str">
        <f>IF($C27="","",IF(AND($C27&gt;=1,$C27&lt;17),VLOOKUP($C27,ПодгОТ!$A$8:$AA$23,27),"Х"))</f>
        <v>НИГМЕДЗЯНОВА</v>
      </c>
      <c r="E27" s="616" t="str">
        <f>IF(AND($C27&gt;=1,$C27&lt;17),VLOOKUP($C27,ПодгОТ!$A$8:$P$23,15),"")</f>
        <v>Д.И.</v>
      </c>
      <c r="F27" s="616" t="str">
        <f>IF(AND($C27&gt;=1,$C27&lt;17),VLOOKUP($C27,ПодгОТ!$A$8:$P$23,6),"")</f>
        <v>Казань</v>
      </c>
      <c r="G27" s="460"/>
      <c r="H27" s="599"/>
      <c r="I27" s="599"/>
      <c r="J27" s="599"/>
      <c r="K27" s="461"/>
      <c r="L27" s="607"/>
      <c r="M27" s="607"/>
      <c r="N27" s="607"/>
      <c r="O27" s="456"/>
      <c r="P27" s="608"/>
      <c r="Q27" s="608"/>
      <c r="R27" s="643"/>
      <c r="S27" s="645"/>
      <c r="T27" s="632"/>
      <c r="U27" s="632"/>
      <c r="V27" s="632"/>
      <c r="W27" s="632"/>
      <c r="X27" s="458"/>
      <c r="AA27" s="352"/>
      <c r="AB27" s="352"/>
      <c r="AC27" s="352"/>
      <c r="AD27" s="352"/>
      <c r="AE27" s="352"/>
      <c r="AF27" s="352"/>
    </row>
    <row r="28" spans="1:32" s="430" customFormat="1" ht="24" customHeight="1">
      <c r="A28" s="622"/>
      <c r="B28" s="624"/>
      <c r="C28" s="635"/>
      <c r="D28" s="628"/>
      <c r="E28" s="617"/>
      <c r="F28" s="637"/>
      <c r="G28" s="629" t="str">
        <f>IF(G30=0,CONCATENATE("поб.",D27,"/",D29),IF(G30=1,D27,IF(G30=2,D29,"Х")))</f>
        <v>НИГМЕДЗЯНОВА</v>
      </c>
      <c r="H28" s="629"/>
      <c r="I28" s="629"/>
      <c r="J28" s="631" t="str">
        <f>IF(G30=1,E27,IF(G30=2,E29,""))</f>
        <v>Д.И.</v>
      </c>
      <c r="K28" s="454"/>
      <c r="L28" s="607"/>
      <c r="M28" s="607"/>
      <c r="N28" s="607"/>
      <c r="O28" s="456"/>
      <c r="P28" s="608"/>
      <c r="Q28" s="608"/>
      <c r="R28" s="643"/>
      <c r="S28" s="492">
        <v>1</v>
      </c>
      <c r="T28" s="633" t="s">
        <v>195</v>
      </c>
      <c r="U28" s="606"/>
      <c r="V28" s="606"/>
      <c r="W28" s="606"/>
      <c r="X28" s="465"/>
      <c r="AA28" s="352"/>
      <c r="AB28" s="352"/>
      <c r="AC28" s="352"/>
      <c r="AD28" s="352"/>
      <c r="AE28" s="352"/>
      <c r="AF28" s="352"/>
    </row>
    <row r="29" spans="1:32" s="430" customFormat="1" ht="24" customHeight="1">
      <c r="A29" s="621">
        <f>IF($C29="","",IF(AND($C29&gt;=1,$C29&lt;17),INDEX(ПодгОТ!$P$8:$P$23,C29),""))</f>
      </c>
      <c r="B29" s="623">
        <v>10</v>
      </c>
      <c r="C29" s="634">
        <v>11</v>
      </c>
      <c r="D29" s="627" t="str">
        <f>IF($C29="","",IF(AND($C29&gt;=1,$C29&lt;17),VLOOKUP($C29,ПодгОТ!$A$8:$AA$23,27),"Х"))</f>
        <v>МАКСИМОВА</v>
      </c>
      <c r="E29" s="616" t="str">
        <f>IF(AND($C29&gt;=1,$C29&lt;17),VLOOKUP($C29,ПодгОТ!$A$8:$P$23,15),"")</f>
        <v>О.С.</v>
      </c>
      <c r="F29" s="618" t="str">
        <f>IF(AND($C29&gt;=1,$C29&lt;17),VLOOKUP($C29,ПодгОТ!$A$8:$P$23,6),"")</f>
        <v>Димитровград</v>
      </c>
      <c r="G29" s="630"/>
      <c r="H29" s="630"/>
      <c r="I29" s="630"/>
      <c r="J29" s="632"/>
      <c r="K29" s="454"/>
      <c r="L29" s="607"/>
      <c r="M29" s="607"/>
      <c r="N29" s="607"/>
      <c r="O29" s="456"/>
      <c r="P29" s="608"/>
      <c r="Q29" s="608"/>
      <c r="R29" s="643"/>
      <c r="S29" s="459"/>
      <c r="T29" s="599"/>
      <c r="U29" s="599"/>
      <c r="V29" s="599"/>
      <c r="W29" s="599"/>
      <c r="X29" s="465"/>
      <c r="AA29" s="352"/>
      <c r="AB29" s="352"/>
      <c r="AC29" s="352"/>
      <c r="AD29" s="352"/>
      <c r="AE29" s="352"/>
      <c r="AF29" s="352"/>
    </row>
    <row r="30" spans="1:32" s="430" customFormat="1" ht="24" customHeight="1">
      <c r="A30" s="622"/>
      <c r="B30" s="624"/>
      <c r="C30" s="635"/>
      <c r="D30" s="628"/>
      <c r="E30" s="617"/>
      <c r="F30" s="619"/>
      <c r="G30" s="105">
        <v>1</v>
      </c>
      <c r="H30" s="633" t="s">
        <v>186</v>
      </c>
      <c r="I30" s="606"/>
      <c r="J30" s="638"/>
      <c r="K30" s="639" t="str">
        <f>IF(K32=0,CONCATENATE("поб.",G28,"/",G32),IF(K32=1,G28,IF(K32=2,G32,"Х")))</f>
        <v>КУЗНЕЦОВА</v>
      </c>
      <c r="L30" s="629"/>
      <c r="M30" s="629"/>
      <c r="N30" s="631" t="str">
        <f>IF(K32=1,J28,IF(K32=2,J32,""))</f>
        <v>А.А.</v>
      </c>
      <c r="O30" s="454"/>
      <c r="P30" s="608"/>
      <c r="Q30" s="608"/>
      <c r="R30" s="643"/>
      <c r="S30" s="459"/>
      <c r="T30" s="608"/>
      <c r="U30" s="608"/>
      <c r="V30" s="608"/>
      <c r="W30" s="608"/>
      <c r="X30" s="465"/>
      <c r="AA30" s="352">
        <f>IF(OR(G30=3,G30=0),0,(IF(G30=1,C27,C29)))</f>
        <v>10</v>
      </c>
      <c r="AB30" s="352">
        <f>IF(OR(G30=3,G30=0),0,(IF(G30=1,C29,C27)))</f>
        <v>11</v>
      </c>
      <c r="AC30" s="352"/>
      <c r="AD30" s="352"/>
      <c r="AE30" s="352"/>
      <c r="AF30" s="352"/>
    </row>
    <row r="31" spans="1:32" s="430" customFormat="1" ht="24" customHeight="1">
      <c r="A31" s="621">
        <f>IF($C31="","",IF(AND($C31&gt;=1,$C31&lt;17),INDEX(ПодгОТ!$P$8:$P$23,C31),""))</f>
      </c>
      <c r="B31" s="623">
        <v>11</v>
      </c>
      <c r="C31" s="634"/>
      <c r="D31" s="636" t="s">
        <v>181</v>
      </c>
      <c r="E31" s="616">
        <f>IF(AND($C31&gt;=1,$C31&lt;17),VLOOKUP($C31,ПодгОТ!$A$8:$P$23,15),"")</f>
      </c>
      <c r="F31" s="616">
        <f>IF(AND($C31&gt;=1,$C31&lt;17),VLOOKUP($C31,ПодгОТ!$A$8:$P$23,6),"")</f>
      </c>
      <c r="G31" s="460"/>
      <c r="H31" s="599"/>
      <c r="I31" s="599"/>
      <c r="J31" s="641"/>
      <c r="K31" s="640"/>
      <c r="L31" s="630"/>
      <c r="M31" s="630"/>
      <c r="N31" s="632"/>
      <c r="O31" s="454"/>
      <c r="P31" s="608"/>
      <c r="Q31" s="608"/>
      <c r="R31" s="643"/>
      <c r="S31" s="459"/>
      <c r="T31" s="608"/>
      <c r="U31" s="608"/>
      <c r="V31" s="608"/>
      <c r="W31" s="608"/>
      <c r="X31" s="465"/>
      <c r="AA31" s="352"/>
      <c r="AB31" s="352"/>
      <c r="AC31" s="352"/>
      <c r="AD31" s="352"/>
      <c r="AE31" s="352"/>
      <c r="AF31" s="352"/>
    </row>
    <row r="32" spans="1:32" s="430" customFormat="1" ht="24" customHeight="1">
      <c r="A32" s="622"/>
      <c r="B32" s="624"/>
      <c r="C32" s="635"/>
      <c r="D32" s="628"/>
      <c r="E32" s="617"/>
      <c r="F32" s="637"/>
      <c r="G32" s="629" t="str">
        <f>IF(G34=0,CONCATENATE("поб.",D31,"/",D33),IF(G34=1,D31,IF(G34=2,D33,"Х")))</f>
        <v>КУЗНЕЦОВА</v>
      </c>
      <c r="H32" s="629"/>
      <c r="I32" s="629"/>
      <c r="J32" s="631" t="str">
        <f>IF(G34=1,E31,IF(G34=2,E33,""))</f>
        <v>А.А.</v>
      </c>
      <c r="K32" s="492">
        <v>2</v>
      </c>
      <c r="L32" s="633" t="s">
        <v>190</v>
      </c>
      <c r="M32" s="606"/>
      <c r="N32" s="638"/>
      <c r="O32" s="462"/>
      <c r="P32" s="608"/>
      <c r="Q32" s="608"/>
      <c r="R32" s="643"/>
      <c r="S32" s="459"/>
      <c r="T32" s="608"/>
      <c r="U32" s="608"/>
      <c r="V32" s="608"/>
      <c r="W32" s="608"/>
      <c r="X32" s="465"/>
      <c r="AA32" s="352"/>
      <c r="AB32" s="352"/>
      <c r="AC32" s="352">
        <f>IF(OR(K32=0,K32=3),0,IF(K32=1,AA30,AA34))</f>
        <v>4</v>
      </c>
      <c r="AD32" s="352">
        <f>IF(OR(K32=0,K32=3),0,IF(K32=1,AA34,AA30))</f>
        <v>10</v>
      </c>
      <c r="AE32" s="352"/>
      <c r="AF32" s="352"/>
    </row>
    <row r="33" spans="1:32" s="430" customFormat="1" ht="24" customHeight="1">
      <c r="A33" s="621" t="str">
        <f>IF($C33="","3 или 4",IF(AND($C33&gt;=1,$C33&lt;17),INDEX(ПодгОТ!$P$8:$P$23,C33),""))</f>
        <v>4 </v>
      </c>
      <c r="B33" s="623">
        <v>12</v>
      </c>
      <c r="C33" s="625">
        <v>4</v>
      </c>
      <c r="D33" s="627" t="str">
        <f>IF($C33="","",IF(AND($C33&gt;=1,$C33&lt;17),VLOOKUP($C33,ПодгОТ!$A$8:$AA$23,27),"Х"))</f>
        <v>КУЗНЕЦОВА</v>
      </c>
      <c r="E33" s="616" t="str">
        <f>IF(AND($C33&gt;=1,$C33&lt;17),VLOOKUP($C33,ПодгОТ!$A$8:$P$23,15),"")</f>
        <v>А.А.</v>
      </c>
      <c r="F33" s="618" t="str">
        <f>IF(AND($C33&gt;=1,$C33&lt;17),VLOOKUP($C33,ПодгОТ!$A$8:$P$23,6),"")</f>
        <v>Казань</v>
      </c>
      <c r="G33" s="630"/>
      <c r="H33" s="630"/>
      <c r="I33" s="630"/>
      <c r="J33" s="632"/>
      <c r="K33" s="459"/>
      <c r="L33" s="599"/>
      <c r="M33" s="599"/>
      <c r="N33" s="641"/>
      <c r="O33" s="462"/>
      <c r="P33" s="608"/>
      <c r="Q33" s="608"/>
      <c r="R33" s="643"/>
      <c r="S33" s="459"/>
      <c r="T33" s="608"/>
      <c r="U33" s="608"/>
      <c r="V33" s="608"/>
      <c r="W33" s="608"/>
      <c r="X33" s="465"/>
      <c r="AA33" s="352"/>
      <c r="AB33" s="352"/>
      <c r="AC33" s="352"/>
      <c r="AD33" s="352"/>
      <c r="AE33" s="352"/>
      <c r="AF33" s="352"/>
    </row>
    <row r="34" spans="1:32" s="430" customFormat="1" ht="24" customHeight="1">
      <c r="A34" s="622"/>
      <c r="B34" s="624"/>
      <c r="C34" s="626"/>
      <c r="D34" s="628"/>
      <c r="E34" s="617"/>
      <c r="F34" s="619"/>
      <c r="G34" s="105">
        <v>2</v>
      </c>
      <c r="H34" s="606"/>
      <c r="I34" s="606"/>
      <c r="J34" s="606"/>
      <c r="K34" s="461"/>
      <c r="L34" s="607"/>
      <c r="M34" s="607"/>
      <c r="N34" s="642"/>
      <c r="O34" s="639" t="str">
        <f>IF(O36=0,CONCATENATE("поб.",K30,"/",K38),IF(O36=1,K30,IF(O36=2,K38,"Х")))</f>
        <v>САМИТОВА</v>
      </c>
      <c r="P34" s="629"/>
      <c r="Q34" s="629"/>
      <c r="R34" s="631" t="str">
        <f>IF(O36=1,N30,IF(O36=2,N38,""))</f>
        <v>З.М.</v>
      </c>
      <c r="S34" s="459"/>
      <c r="T34" s="608"/>
      <c r="U34" s="608"/>
      <c r="V34" s="608"/>
      <c r="W34" s="608"/>
      <c r="X34" s="465"/>
      <c r="AA34" s="352">
        <f>IF(OR(G34=3,G34=0),0,(IF(G34=1,C31,C33)))</f>
        <v>4</v>
      </c>
      <c r="AB34" s="352">
        <f>IF(OR(G34=3,G34=0),0,(IF(G34=1,C33,C31)))</f>
        <v>0</v>
      </c>
      <c r="AC34" s="352"/>
      <c r="AD34" s="352"/>
      <c r="AE34" s="352"/>
      <c r="AF34" s="352"/>
    </row>
    <row r="35" spans="1:32" s="430" customFormat="1" ht="24" customHeight="1">
      <c r="A35" s="621">
        <f>IF($C35="","",IF(AND($C35&gt;=1,$C35&lt;17),INDEX(ПодгОТ!$P$8:$P$23,C35),""))</f>
      </c>
      <c r="B35" s="623">
        <v>13</v>
      </c>
      <c r="C35" s="634">
        <v>5</v>
      </c>
      <c r="D35" s="627" t="str">
        <f>IF($C35="","",IF(AND($C35&gt;=1,$C35&lt;17),VLOOKUP($C35,ПодгОТ!$A$8:$AA$23,27),"Х"))</f>
        <v>МАТВЕЕВА</v>
      </c>
      <c r="E35" s="616" t="str">
        <f>IF(AND($C35&gt;=1,$C35&lt;17),VLOOKUP($C35,ПодгОТ!$A$8:$P$23,15),"")</f>
        <v>Е.А.</v>
      </c>
      <c r="F35" s="616" t="str">
        <f>IF(AND($C35&gt;=1,$C35&lt;17),VLOOKUP($C35,ПодгОТ!$A$8:$P$23,6),"")</f>
        <v>Казань</v>
      </c>
      <c r="G35" s="460"/>
      <c r="H35" s="599"/>
      <c r="I35" s="599"/>
      <c r="J35" s="599"/>
      <c r="K35" s="461"/>
      <c r="L35" s="607"/>
      <c r="M35" s="607"/>
      <c r="N35" s="642"/>
      <c r="O35" s="640"/>
      <c r="P35" s="630"/>
      <c r="Q35" s="630"/>
      <c r="R35" s="632"/>
      <c r="S35" s="459"/>
      <c r="T35" s="608"/>
      <c r="U35" s="608"/>
      <c r="V35" s="608"/>
      <c r="W35" s="608"/>
      <c r="X35" s="465"/>
      <c r="AA35" s="352"/>
      <c r="AB35" s="352"/>
      <c r="AC35" s="352"/>
      <c r="AD35" s="352"/>
      <c r="AE35" s="352"/>
      <c r="AF35" s="352"/>
    </row>
    <row r="36" spans="1:32" s="430" customFormat="1" ht="24" customHeight="1">
      <c r="A36" s="622"/>
      <c r="B36" s="624"/>
      <c r="C36" s="635"/>
      <c r="D36" s="628"/>
      <c r="E36" s="617"/>
      <c r="F36" s="637"/>
      <c r="G36" s="629" t="str">
        <f>IF(G38=0,CONCATENATE("поб.",D35,"/",D37),IF(G38=1,D35,IF(G38=2,D37,"Х")))</f>
        <v>МАТВЕЕВА</v>
      </c>
      <c r="H36" s="629"/>
      <c r="I36" s="629"/>
      <c r="J36" s="631" t="str">
        <f>IF(G38=1,E35,IF(G38=2,E37,""))</f>
        <v>Е.А.</v>
      </c>
      <c r="K36" s="454"/>
      <c r="L36" s="607"/>
      <c r="M36" s="607"/>
      <c r="N36" s="642"/>
      <c r="O36" s="492">
        <v>2</v>
      </c>
      <c r="P36" s="633" t="s">
        <v>193</v>
      </c>
      <c r="Q36" s="606"/>
      <c r="R36" s="606"/>
      <c r="S36" s="461"/>
      <c r="T36" s="608"/>
      <c r="U36" s="608"/>
      <c r="V36" s="608"/>
      <c r="W36" s="608"/>
      <c r="X36" s="465"/>
      <c r="AA36" s="352"/>
      <c r="AB36" s="352"/>
      <c r="AC36" s="352"/>
      <c r="AD36" s="352"/>
      <c r="AE36" s="352">
        <f>IF(OR(O36=0,O36=3),0,IF(O36=1,AC32,AC40))</f>
        <v>2</v>
      </c>
      <c r="AF36" s="352">
        <f>IF(OR(O36=0,O36=3),0,IF(O36=1,AC40,AC32))</f>
        <v>4</v>
      </c>
    </row>
    <row r="37" spans="1:32" s="430" customFormat="1" ht="24" customHeight="1">
      <c r="A37" s="621">
        <f>IF($C37="","",IF(AND($C37&gt;=1,$C37&lt;17),INDEX(ПодгОТ!$P$8:$P$23,C37),""))</f>
      </c>
      <c r="B37" s="623">
        <v>14</v>
      </c>
      <c r="C37" s="634">
        <v>7</v>
      </c>
      <c r="D37" s="627" t="str">
        <f>IF($C37="","",IF(AND($C37&gt;=1,$C37&lt;17),VLOOKUP($C37,ПодгОТ!$A$8:$AA$23,27),"Х"))</f>
        <v>МАКАРОВА</v>
      </c>
      <c r="E37" s="616" t="str">
        <f>IF(AND($C37&gt;=1,$C37&lt;17),VLOOKUP($C37,ПодгОТ!$A$8:$P$23,15),"")</f>
        <v>А.А.</v>
      </c>
      <c r="F37" s="618" t="str">
        <f>IF(AND($C37&gt;=1,$C37&lt;17),VLOOKUP($C37,ПодгОТ!$A$8:$P$23,6),"")</f>
        <v>Казань</v>
      </c>
      <c r="G37" s="630"/>
      <c r="H37" s="630"/>
      <c r="I37" s="630"/>
      <c r="J37" s="632"/>
      <c r="K37" s="454"/>
      <c r="L37" s="607"/>
      <c r="M37" s="607"/>
      <c r="N37" s="642"/>
      <c r="O37" s="463"/>
      <c r="P37" s="599"/>
      <c r="Q37" s="599"/>
      <c r="R37" s="599"/>
      <c r="S37" s="461"/>
      <c r="T37" s="608"/>
      <c r="U37" s="608"/>
      <c r="V37" s="608"/>
      <c r="W37" s="608"/>
      <c r="X37" s="465"/>
      <c r="AA37" s="352"/>
      <c r="AB37" s="352"/>
      <c r="AC37" s="352"/>
      <c r="AD37" s="352"/>
      <c r="AE37" s="352"/>
      <c r="AF37" s="352"/>
    </row>
    <row r="38" spans="1:32" s="430" customFormat="1" ht="24" customHeight="1">
      <c r="A38" s="622"/>
      <c r="B38" s="624"/>
      <c r="C38" s="635"/>
      <c r="D38" s="628"/>
      <c r="E38" s="617"/>
      <c r="F38" s="619"/>
      <c r="G38" s="105">
        <v>1</v>
      </c>
      <c r="H38" s="633" t="s">
        <v>183</v>
      </c>
      <c r="I38" s="606"/>
      <c r="J38" s="638"/>
      <c r="K38" s="639" t="str">
        <f>IF(K40=0,CONCATENATE("поб.",G36,"/",G40),IF(K40=1,G36,IF(K40=2,G40,"Х")))</f>
        <v>САМИТОВА</v>
      </c>
      <c r="L38" s="629"/>
      <c r="M38" s="629"/>
      <c r="N38" s="631" t="str">
        <f>IF(K40=1,J36,IF(K40=2,J40,""))</f>
        <v>З.М.</v>
      </c>
      <c r="O38" s="459"/>
      <c r="P38" s="607"/>
      <c r="Q38" s="607"/>
      <c r="R38" s="608"/>
      <c r="S38" s="454"/>
      <c r="T38" s="608"/>
      <c r="U38" s="608"/>
      <c r="V38" s="608"/>
      <c r="W38" s="608"/>
      <c r="X38" s="465"/>
      <c r="AA38" s="352">
        <f>IF(OR(G38=3,G38=0),0,(IF(G38=1,C35,C37)))</f>
        <v>5</v>
      </c>
      <c r="AB38" s="352">
        <f>IF(OR(G38=3,G38=0),0,(IF(G38=1,C37,C35)))</f>
        <v>7</v>
      </c>
      <c r="AC38" s="352"/>
      <c r="AD38" s="352"/>
      <c r="AE38" s="352"/>
      <c r="AF38" s="352"/>
    </row>
    <row r="39" spans="1:32" s="430" customFormat="1" ht="24" customHeight="1">
      <c r="A39" s="621">
        <f>IF($C39="","",IF(AND($C39&gt;=1,$C39&lt;17),INDEX(ПодгОТ!$P$8:$P$23,C39),""))</f>
      </c>
      <c r="B39" s="623">
        <v>15</v>
      </c>
      <c r="C39" s="634"/>
      <c r="D39" s="636" t="s">
        <v>181</v>
      </c>
      <c r="E39" s="616">
        <f>IF(AND($C39&gt;=1,$C39&lt;17),VLOOKUP($C39,ПодгОТ!$A$8:$P$23,15),"")</f>
      </c>
      <c r="F39" s="616">
        <f>IF(AND($C39&gt;=1,$C39&lt;17),VLOOKUP($C39,ПодгОТ!$A$8:$P$23,6),"")</f>
      </c>
      <c r="G39" s="460"/>
      <c r="H39" s="599"/>
      <c r="I39" s="599"/>
      <c r="J39" s="641"/>
      <c r="K39" s="640"/>
      <c r="L39" s="630"/>
      <c r="M39" s="630"/>
      <c r="N39" s="632"/>
      <c r="O39" s="459"/>
      <c r="P39" s="608"/>
      <c r="Q39" s="608"/>
      <c r="R39" s="608"/>
      <c r="S39" s="454"/>
      <c r="T39" s="608"/>
      <c r="U39" s="608"/>
      <c r="V39" s="608"/>
      <c r="W39" s="608"/>
      <c r="X39" s="465"/>
      <c r="AA39" s="352"/>
      <c r="AB39" s="352"/>
      <c r="AC39" s="352"/>
      <c r="AD39" s="352"/>
      <c r="AE39" s="352"/>
      <c r="AF39" s="352"/>
    </row>
    <row r="40" spans="1:32" s="430" customFormat="1" ht="24" customHeight="1">
      <c r="A40" s="622"/>
      <c r="B40" s="624"/>
      <c r="C40" s="635"/>
      <c r="D40" s="628"/>
      <c r="E40" s="617"/>
      <c r="F40" s="637"/>
      <c r="G40" s="629" t="str">
        <f>IF(G42=0,CONCATENATE("поб.",D39,"/",D41),IF(G42=1,D39,IF(G42=2,D41,"Х")))</f>
        <v>САМИТОВА</v>
      </c>
      <c r="H40" s="629"/>
      <c r="I40" s="629"/>
      <c r="J40" s="631" t="str">
        <f>IF(G42=1,E39,IF(G42=2,E41,""))</f>
        <v>З.М.</v>
      </c>
      <c r="K40" s="492">
        <v>2</v>
      </c>
      <c r="L40" s="633" t="s">
        <v>188</v>
      </c>
      <c r="M40" s="606"/>
      <c r="N40" s="606"/>
      <c r="O40" s="461"/>
      <c r="P40" s="608"/>
      <c r="Q40" s="608"/>
      <c r="R40" s="608"/>
      <c r="S40" s="454"/>
      <c r="T40" s="608"/>
      <c r="U40" s="608"/>
      <c r="V40" s="608"/>
      <c r="W40" s="608"/>
      <c r="X40" s="465"/>
      <c r="AA40" s="352"/>
      <c r="AB40" s="352"/>
      <c r="AC40" s="352">
        <f>IF(OR(K40=0,K40=3),0,IF(K40=1,AA38,AA42))</f>
        <v>2</v>
      </c>
      <c r="AD40" s="352">
        <f>IF(OR(K40=0,K40=3),0,IF(K40=1,AA42,AA38))</f>
        <v>5</v>
      </c>
      <c r="AE40" s="352"/>
      <c r="AF40" s="352"/>
    </row>
    <row r="41" spans="1:32" s="430" customFormat="1" ht="24" customHeight="1">
      <c r="A41" s="621" t="str">
        <f>IF($C41="","2",IF(AND($C41&gt;=1,$C41&lt;17),INDEX(ПодгОТ!$P$8:$P$23,C41),""))</f>
        <v>2 </v>
      </c>
      <c r="B41" s="623">
        <v>16</v>
      </c>
      <c r="C41" s="625">
        <v>2</v>
      </c>
      <c r="D41" s="627" t="str">
        <f>IF($C41="","",IF(AND($C41&gt;=1,$C41&lt;17),VLOOKUP($C41,ПодгОТ!$A$8:$AA$23,27),"Х"))</f>
        <v>САМИТОВА</v>
      </c>
      <c r="E41" s="616" t="str">
        <f>IF(AND($C41&gt;=1,$C41&lt;17),VLOOKUP($C41,ПодгОТ!$A$8:$P$23,15),"")</f>
        <v>З.М.</v>
      </c>
      <c r="F41" s="618" t="str">
        <f>IF(AND($C41&gt;=1,$C41&lt;17),VLOOKUP($C41,ПодгОТ!$A$8:$P$23,6),"")</f>
        <v>Елабуга</v>
      </c>
      <c r="G41" s="630"/>
      <c r="H41" s="630"/>
      <c r="I41" s="630"/>
      <c r="J41" s="632"/>
      <c r="K41" s="459"/>
      <c r="L41" s="599"/>
      <c r="M41" s="599"/>
      <c r="N41" s="599"/>
      <c r="O41" s="461"/>
      <c r="P41" s="608"/>
      <c r="Q41" s="608"/>
      <c r="R41" s="608"/>
      <c r="S41" s="454"/>
      <c r="T41" s="608"/>
      <c r="U41" s="608"/>
      <c r="V41" s="608"/>
      <c r="W41" s="608"/>
      <c r="X41" s="465"/>
      <c r="AA41" s="352"/>
      <c r="AB41" s="352"/>
      <c r="AC41" s="352"/>
      <c r="AD41" s="352"/>
      <c r="AE41" s="352"/>
      <c r="AF41" s="352"/>
    </row>
    <row r="42" spans="1:32" s="430" customFormat="1" ht="24" customHeight="1">
      <c r="A42" s="622"/>
      <c r="B42" s="624"/>
      <c r="C42" s="626"/>
      <c r="D42" s="628"/>
      <c r="E42" s="617"/>
      <c r="F42" s="619"/>
      <c r="G42" s="105">
        <v>2</v>
      </c>
      <c r="H42" s="606"/>
      <c r="I42" s="606"/>
      <c r="J42" s="606"/>
      <c r="K42" s="461"/>
      <c r="L42" s="607"/>
      <c r="M42" s="607"/>
      <c r="N42" s="607"/>
      <c r="O42" s="456"/>
      <c r="P42" s="608"/>
      <c r="Q42" s="608"/>
      <c r="R42" s="608"/>
      <c r="S42" s="454"/>
      <c r="T42" s="608"/>
      <c r="U42" s="608"/>
      <c r="V42" s="608"/>
      <c r="W42" s="608"/>
      <c r="X42" s="465"/>
      <c r="AA42" s="352">
        <f>IF(OR(G42=3,G42=0),0,(IF(G42=1,C39,C41)))</f>
        <v>2</v>
      </c>
      <c r="AB42" s="352">
        <f>IF(OR(G42=3,G42=0),0,(IF(G42=1,C41,C39)))</f>
        <v>0</v>
      </c>
      <c r="AC42" s="352"/>
      <c r="AD42" s="352"/>
      <c r="AE42" s="352"/>
      <c r="AF42" s="352"/>
    </row>
    <row r="43" spans="1:32" s="430" customFormat="1" ht="12" customHeight="1">
      <c r="A43" s="466"/>
      <c r="B43" s="465"/>
      <c r="C43" s="502"/>
      <c r="D43" s="467"/>
      <c r="E43" s="468"/>
      <c r="F43" s="460"/>
      <c r="G43" s="469"/>
      <c r="H43" s="599"/>
      <c r="I43" s="599"/>
      <c r="J43" s="470"/>
      <c r="K43" s="461"/>
      <c r="L43" s="455"/>
      <c r="M43" s="455"/>
      <c r="N43" s="620"/>
      <c r="O43" s="615" t="s">
        <v>16</v>
      </c>
      <c r="P43" s="602" t="s">
        <v>17</v>
      </c>
      <c r="Q43" s="602"/>
      <c r="R43" s="602"/>
      <c r="S43" s="602"/>
      <c r="T43" s="603"/>
      <c r="U43" s="609" t="s">
        <v>61</v>
      </c>
      <c r="V43" s="610"/>
      <c r="W43" s="611"/>
      <c r="X43" s="471"/>
      <c r="AA43" s="352"/>
      <c r="AB43" s="352"/>
      <c r="AC43" s="352"/>
      <c r="AD43" s="352"/>
      <c r="AE43" s="352"/>
      <c r="AF43" s="352"/>
    </row>
    <row r="44" spans="4:32" ht="12" customHeight="1">
      <c r="D44" s="598" t="str">
        <f>IF(ПолуфиналНеявка(P20),"Х",IF(O20=0,CONCATENATE("пр.",K14,"/",K22),IF(O20=1,K22,IF(O20=2,K14,"Х"))))</f>
        <v>МИФТАХОВА</v>
      </c>
      <c r="E44" s="598"/>
      <c r="F44" s="598"/>
      <c r="G44" s="460"/>
      <c r="H44" s="599"/>
      <c r="I44" s="599"/>
      <c r="J44" s="599"/>
      <c r="K44" s="461"/>
      <c r="L44" s="472"/>
      <c r="M44" s="472"/>
      <c r="N44" s="620"/>
      <c r="O44" s="615"/>
      <c r="P44" s="604"/>
      <c r="Q44" s="604"/>
      <c r="R44" s="604"/>
      <c r="S44" s="604"/>
      <c r="T44" s="605"/>
      <c r="U44" s="612"/>
      <c r="V44" s="613"/>
      <c r="W44" s="614"/>
      <c r="X44" s="473"/>
      <c r="AA44" s="352"/>
      <c r="AB44" s="352"/>
      <c r="AC44" s="352"/>
      <c r="AD44" s="352"/>
      <c r="AE44" s="352"/>
      <c r="AF44" s="352"/>
    </row>
    <row r="45" spans="2:32" ht="12" customHeight="1">
      <c r="B45" s="474"/>
      <c r="C45" s="503"/>
      <c r="D45" s="595"/>
      <c r="E45" s="595"/>
      <c r="F45" s="595"/>
      <c r="G45" s="600" t="str">
        <f>IF(G47=0,"",IF(G47=1,D44,IF(G47=2,D46,"Х")))</f>
        <v>КУЗНЕЦОВА</v>
      </c>
      <c r="H45" s="600"/>
      <c r="I45" s="600"/>
      <c r="J45" s="600"/>
      <c r="K45" s="476"/>
      <c r="L45" s="477"/>
      <c r="M45" s="477"/>
      <c r="N45" s="509"/>
      <c r="O45" s="478">
        <f>IF(P45="","",1)</f>
        <v>1</v>
      </c>
      <c r="P45" s="587" t="str">
        <f>IF(OR(ПодгОТ!B8=0,ПодгОТ!P8="ОЖ"),"",ПодгОТ!AA8)</f>
        <v>ШАКИРОВА</v>
      </c>
      <c r="Q45" s="587"/>
      <c r="R45" s="587"/>
      <c r="S45" s="587"/>
      <c r="T45" s="588"/>
      <c r="U45" s="589">
        <f>IF(OR(ПодгОТ!B8=0,ПодгОТ!P8="ОЖ"),"",ПодгОТ!B8)</f>
        <v>357</v>
      </c>
      <c r="V45" s="590"/>
      <c r="W45" s="591"/>
      <c r="X45" s="473"/>
      <c r="AA45" s="352"/>
      <c r="AB45" s="352"/>
      <c r="AC45" s="352"/>
      <c r="AD45" s="352"/>
      <c r="AE45" s="352"/>
      <c r="AF45" s="352"/>
    </row>
    <row r="46" spans="2:32" ht="12" customHeight="1">
      <c r="B46" s="479"/>
      <c r="C46" s="504"/>
      <c r="D46" s="593" t="str">
        <f>IF(ПолуфиналНеявка(P36),"Х",IF(O36=0,CONCATENATE("пр.",K30,"/",K38),IF(O36=1,K38,IF(O36=2,K30,"Х"))))</f>
        <v>КУЗНЕЦОВА</v>
      </c>
      <c r="E46" s="593"/>
      <c r="F46" s="594"/>
      <c r="G46" s="601"/>
      <c r="H46" s="601"/>
      <c r="I46" s="601"/>
      <c r="J46" s="601"/>
      <c r="K46" s="475"/>
      <c r="L46" s="597" t="s">
        <v>26</v>
      </c>
      <c r="M46" s="508"/>
      <c r="N46" s="509"/>
      <c r="O46" s="478">
        <f>IF(P46="","",2)</f>
        <v>2</v>
      </c>
      <c r="P46" s="587" t="str">
        <f>IF(OR(ПодгОТ!B9=0,ПодгОТ!P9="ОЖ"),"",ПодгОТ!AA9)</f>
        <v>САМИТОВА</v>
      </c>
      <c r="Q46" s="587"/>
      <c r="R46" s="587"/>
      <c r="S46" s="587"/>
      <c r="T46" s="588"/>
      <c r="U46" s="589">
        <f>IF(OR(ПодгОТ!B9=0,ПодгОТ!P9="ОЖ"),"",ПодгОТ!B9)</f>
        <v>235</v>
      </c>
      <c r="V46" s="590"/>
      <c r="W46" s="591"/>
      <c r="X46" s="473"/>
      <c r="AA46" s="352">
        <f>IF(OR(G46=3,G46=0),0,(IF(G46=1,C43,C45)))</f>
        <v>0</v>
      </c>
      <c r="AB46" s="352">
        <f>IF(OR(G46=3,G46=0),0,(IF(G46=1,C45,C43)))</f>
        <v>0</v>
      </c>
      <c r="AC46" s="352"/>
      <c r="AD46" s="352"/>
      <c r="AE46" s="352"/>
      <c r="AF46" s="352"/>
    </row>
    <row r="47" spans="2:32" ht="12" customHeight="1">
      <c r="B47" s="474"/>
      <c r="C47" s="503"/>
      <c r="D47" s="595"/>
      <c r="E47" s="595"/>
      <c r="F47" s="596"/>
      <c r="G47" s="105">
        <v>2</v>
      </c>
      <c r="H47" s="586" t="s">
        <v>194</v>
      </c>
      <c r="I47" s="586"/>
      <c r="J47" s="586"/>
      <c r="K47" s="480"/>
      <c r="L47" s="597"/>
      <c r="M47" s="508"/>
      <c r="N47" s="509"/>
      <c r="O47" s="478">
        <f>IF(P47="","",3)</f>
        <v>3</v>
      </c>
      <c r="P47" s="587" t="str">
        <f>IF(OR(ПодгОТ!B10=0,ПодгОТ!P10="ОЖ",ПодгОТ!$C$50&lt;9),"",ПодгОТ!AA10)</f>
        <v>МИФТАХОВА</v>
      </c>
      <c r="Q47" s="587"/>
      <c r="R47" s="587"/>
      <c r="S47" s="587"/>
      <c r="T47" s="588"/>
      <c r="U47" s="589">
        <f>IF(OR(ПодгОТ!B10=0,ПодгОТ!P10="ОЖ",ПодгОТ!$C$50&lt;9),"",ПодгОТ!B10)</f>
        <v>221</v>
      </c>
      <c r="V47" s="590"/>
      <c r="W47" s="591"/>
      <c r="X47" s="473"/>
      <c r="AA47" s="352"/>
      <c r="AB47" s="352"/>
      <c r="AC47" s="352"/>
      <c r="AD47" s="352"/>
      <c r="AE47" s="352"/>
      <c r="AF47" s="352"/>
    </row>
    <row r="48" spans="4:32" ht="12" customHeight="1">
      <c r="D48" s="481"/>
      <c r="E48" s="481"/>
      <c r="F48" s="481"/>
      <c r="G48" s="482"/>
      <c r="H48" s="592"/>
      <c r="I48" s="592"/>
      <c r="J48" s="592"/>
      <c r="K48" s="480"/>
      <c r="L48" s="472"/>
      <c r="M48" s="472"/>
      <c r="N48" s="509"/>
      <c r="O48" s="478">
        <f>IF(P48="","",4)</f>
        <v>4</v>
      </c>
      <c r="P48" s="587" t="str">
        <f>IF(OR(ПодгОТ!B11=0,ПодгОТ!P11="ОЖ",ПодгОТ!$C$50&lt;9),"",ПодгОТ!AA11)</f>
        <v>КУЗНЕЦОВА</v>
      </c>
      <c r="Q48" s="587"/>
      <c r="R48" s="587"/>
      <c r="S48" s="587"/>
      <c r="T48" s="588"/>
      <c r="U48" s="589">
        <f>IF(OR(ПодгОТ!B11=0,ПодгОТ!P11="ОЖ",ПодгОТ!$C$50&lt;9),"",ПодгОТ!B11)</f>
        <v>143</v>
      </c>
      <c r="V48" s="590"/>
      <c r="W48" s="591"/>
      <c r="X48" s="473"/>
      <c r="AA48" s="352"/>
      <c r="AB48" s="352"/>
      <c r="AC48" s="352">
        <f>IF(OR(K48=0,K48=3),0,IF(K48=1,AA46,AA50))</f>
        <v>0</v>
      </c>
      <c r="AD48" s="352">
        <f>IF(OR(K48=0,K48=3),0,IF(K48=1,AA50,AA46))</f>
        <v>0</v>
      </c>
      <c r="AE48" s="352"/>
      <c r="AF48" s="352"/>
    </row>
    <row r="49" spans="11:32" ht="12" customHeight="1">
      <c r="K49" s="483"/>
      <c r="L49" s="472"/>
      <c r="M49" s="472"/>
      <c r="N49" s="477"/>
      <c r="O49" s="484"/>
      <c r="P49" s="585"/>
      <c r="Q49" s="585"/>
      <c r="R49" s="585"/>
      <c r="S49" s="585"/>
      <c r="T49" s="585"/>
      <c r="U49" s="583"/>
      <c r="V49" s="583"/>
      <c r="W49" s="583"/>
      <c r="AA49" s="352"/>
      <c r="AB49" s="352"/>
      <c r="AC49" s="352"/>
      <c r="AD49" s="352"/>
      <c r="AE49" s="352"/>
      <c r="AF49" s="352"/>
    </row>
    <row r="50" spans="1:32" ht="12" customHeight="1">
      <c r="A50" s="485" t="s">
        <v>19</v>
      </c>
      <c r="D50" s="486"/>
      <c r="E50" s="486"/>
      <c r="F50" s="584" t="str">
        <f>UPPER(Установка!C11)</f>
        <v>ГОРШЕНИН Э.А.</v>
      </c>
      <c r="G50" s="584"/>
      <c r="H50" s="584"/>
      <c r="I50" s="584"/>
      <c r="J50" s="584"/>
      <c r="K50" s="433"/>
      <c r="L50" s="472"/>
      <c r="M50" s="472"/>
      <c r="N50" s="477"/>
      <c r="O50" s="484"/>
      <c r="P50" s="585"/>
      <c r="Q50" s="585"/>
      <c r="R50" s="585"/>
      <c r="S50" s="585"/>
      <c r="T50" s="585"/>
      <c r="U50" s="583"/>
      <c r="V50" s="583"/>
      <c r="W50" s="583"/>
      <c r="AA50" s="352">
        <f>IF(OR(G50=3,G50=0),0,(IF(G50=1,C47,C49)))</f>
        <v>0</v>
      </c>
      <c r="AB50" s="352">
        <f>IF(OR(G50=3,G50=0),0,(IF(G50=1,C49,C47)))</f>
        <v>0</v>
      </c>
      <c r="AC50" s="352"/>
      <c r="AD50" s="352"/>
      <c r="AE50" s="352"/>
      <c r="AF50" s="352"/>
    </row>
    <row r="51" spans="4:32" ht="12" customHeight="1">
      <c r="D51" s="487" t="s">
        <v>41</v>
      </c>
      <c r="E51" s="487"/>
      <c r="F51" s="582" t="s">
        <v>42</v>
      </c>
      <c r="G51" s="582"/>
      <c r="H51" s="582"/>
      <c r="I51" s="582"/>
      <c r="J51" s="582"/>
      <c r="K51" s="488"/>
      <c r="L51" s="489"/>
      <c r="M51" s="489"/>
      <c r="N51" s="477"/>
      <c r="O51" s="484"/>
      <c r="P51" s="585"/>
      <c r="Q51" s="585"/>
      <c r="R51" s="585"/>
      <c r="S51" s="585"/>
      <c r="T51" s="585"/>
      <c r="U51" s="583"/>
      <c r="V51" s="583"/>
      <c r="W51" s="583"/>
      <c r="AA51" s="352"/>
      <c r="AB51" s="352"/>
      <c r="AC51" s="352"/>
      <c r="AD51" s="352"/>
      <c r="AE51" s="352"/>
      <c r="AF51" s="352"/>
    </row>
    <row r="52" spans="1:32" ht="12" customHeight="1">
      <c r="A52" s="485" t="s">
        <v>20</v>
      </c>
      <c r="D52" s="486"/>
      <c r="E52" s="486"/>
      <c r="F52" s="584" t="str">
        <f>UPPER(Установка!C12)</f>
        <v>СУРЧЕНКО А.А.</v>
      </c>
      <c r="G52" s="584"/>
      <c r="H52" s="584"/>
      <c r="I52" s="584"/>
      <c r="J52" s="584"/>
      <c r="K52" s="433"/>
      <c r="L52" s="489"/>
      <c r="M52" s="489"/>
      <c r="N52" s="477"/>
      <c r="O52" s="484"/>
      <c r="P52" s="585"/>
      <c r="Q52" s="585"/>
      <c r="R52" s="585"/>
      <c r="S52" s="585"/>
      <c r="T52" s="585"/>
      <c r="U52" s="583"/>
      <c r="V52" s="583"/>
      <c r="W52" s="583"/>
      <c r="AA52" s="352"/>
      <c r="AB52" s="352"/>
      <c r="AC52" s="352"/>
      <c r="AD52" s="352"/>
      <c r="AE52" s="352">
        <f>IF(OR(O52=0,O52=3),0,IF(O52=1,AC48,AC56))</f>
        <v>0</v>
      </c>
      <c r="AF52" s="352">
        <f>IF(OR(O52=0,O52=3),0,IF(O52=1,AC56,AC48))</f>
        <v>0</v>
      </c>
    </row>
    <row r="53" spans="4:32" ht="12" customHeight="1">
      <c r="D53" s="487" t="s">
        <v>41</v>
      </c>
      <c r="E53" s="487"/>
      <c r="F53" s="582" t="s">
        <v>42</v>
      </c>
      <c r="G53" s="582"/>
      <c r="H53" s="582"/>
      <c r="I53" s="582"/>
      <c r="J53" s="582"/>
      <c r="K53" s="488"/>
      <c r="L53" s="472"/>
      <c r="M53" s="472"/>
      <c r="N53" s="472"/>
      <c r="O53" s="472"/>
      <c r="P53" s="481"/>
      <c r="Q53" s="481"/>
      <c r="R53" s="481"/>
      <c r="S53" s="481"/>
      <c r="T53" s="490"/>
      <c r="U53" s="490"/>
      <c r="V53" s="490"/>
      <c r="W53" s="481"/>
      <c r="AA53" s="352"/>
      <c r="AB53" s="352"/>
      <c r="AC53" s="352"/>
      <c r="AD53" s="352"/>
      <c r="AE53" s="352"/>
      <c r="AF53" s="352"/>
    </row>
    <row r="54" spans="11:32" ht="12.75">
      <c r="K54" s="483"/>
      <c r="AA54" s="352">
        <f>IF(OR(G54=3,G54=0),0,(IF(G54=1,C51,C53)))</f>
        <v>0</v>
      </c>
      <c r="AB54" s="352">
        <f>IF(OR(G54=3,G54=0),0,(IF(G54=1,C53,C51)))</f>
        <v>0</v>
      </c>
      <c r="AC54" s="352"/>
      <c r="AD54" s="352"/>
      <c r="AE54" s="352"/>
      <c r="AF54" s="352"/>
    </row>
    <row r="55" spans="1:32" ht="12.75">
      <c r="A55" s="491"/>
      <c r="K55" s="483"/>
      <c r="AA55" s="352"/>
      <c r="AB55" s="352"/>
      <c r="AC55" s="352"/>
      <c r="AD55" s="352"/>
      <c r="AE55" s="352"/>
      <c r="AF55" s="352"/>
    </row>
    <row r="56" spans="11:32" ht="12.75">
      <c r="K56" s="483"/>
      <c r="AA56" s="352"/>
      <c r="AB56" s="352"/>
      <c r="AC56" s="352">
        <f>IF(OR(K56=0,K56=3),0,IF(K56=1,AA54,AA58))</f>
        <v>0</v>
      </c>
      <c r="AD56" s="352">
        <f>IF(OR(K56=0,K56=3),0,IF(K56=1,AA58,AA54))</f>
        <v>0</v>
      </c>
      <c r="AE56" s="352"/>
      <c r="AF56" s="352"/>
    </row>
    <row r="57" spans="11:32" ht="12.75">
      <c r="K57" s="483"/>
      <c r="AA57" s="352"/>
      <c r="AB57" s="352"/>
      <c r="AC57" s="352"/>
      <c r="AD57" s="352"/>
      <c r="AE57" s="352"/>
      <c r="AF57" s="352"/>
    </row>
    <row r="58" spans="11:32" ht="12.75">
      <c r="K58" s="483"/>
      <c r="AA58" s="352">
        <f>IF(OR(G58=3,G58=0),0,(IF(G58=1,C55,C57)))</f>
        <v>0</v>
      </c>
      <c r="AB58" s="352">
        <f>IF(OR(G58=3,G58=0),0,(IF(G58=1,C57,C55)))</f>
        <v>0</v>
      </c>
      <c r="AC58" s="352"/>
      <c r="AD58" s="352"/>
      <c r="AE58" s="352"/>
      <c r="AF58" s="352"/>
    </row>
    <row r="59" spans="11:32" ht="12.75">
      <c r="K59" s="483"/>
      <c r="AA59" s="352"/>
      <c r="AB59" s="352"/>
      <c r="AC59" s="352"/>
      <c r="AD59" s="352"/>
      <c r="AE59" s="352"/>
      <c r="AF59" s="352"/>
    </row>
    <row r="60" spans="11:32" ht="12.75">
      <c r="K60" s="483"/>
      <c r="AA60" s="352"/>
      <c r="AB60" s="352"/>
      <c r="AC60" s="352"/>
      <c r="AD60" s="352"/>
      <c r="AE60" s="352"/>
      <c r="AF60" s="352"/>
    </row>
    <row r="61" spans="11:32" ht="12.75">
      <c r="K61" s="483"/>
      <c r="AA61" s="352"/>
      <c r="AB61" s="352"/>
      <c r="AC61" s="352"/>
      <c r="AD61" s="352"/>
      <c r="AE61" s="352"/>
      <c r="AF61" s="352"/>
    </row>
    <row r="62" spans="11:32" ht="12.75">
      <c r="K62" s="483"/>
      <c r="AA62" s="352">
        <f>IF(OR(G62=3,G62=0),0,(IF(G62=1,C59,C61)))</f>
        <v>0</v>
      </c>
      <c r="AB62" s="352">
        <f>IF(OR(G62=3,G62=0),0,(IF(G62=1,C61,C59)))</f>
        <v>0</v>
      </c>
      <c r="AC62" s="352"/>
      <c r="AD62" s="352"/>
      <c r="AE62" s="352"/>
      <c r="AF62" s="352"/>
    </row>
    <row r="63" spans="11:32" ht="12.75">
      <c r="K63" s="483"/>
      <c r="AA63" s="352"/>
      <c r="AB63" s="352"/>
      <c r="AC63" s="352"/>
      <c r="AD63" s="352"/>
      <c r="AE63" s="352"/>
      <c r="AF63" s="352"/>
    </row>
    <row r="64" spans="11:32" ht="12.75">
      <c r="K64" s="483"/>
      <c r="AA64" s="352"/>
      <c r="AB64" s="352"/>
      <c r="AC64" s="352">
        <f>IF(OR(K64=0,K64=3),0,IF(K64=1,AA62,AA66))</f>
        <v>0</v>
      </c>
      <c r="AD64" s="352">
        <f>IF(OR(K64=0,K64=3),0,IF(K64=1,AA66,AA62))</f>
        <v>0</v>
      </c>
      <c r="AE64" s="352"/>
      <c r="AF64" s="352"/>
    </row>
    <row r="65" spans="27:32" ht="12.75">
      <c r="AA65" s="352"/>
      <c r="AB65" s="352"/>
      <c r="AC65" s="352"/>
      <c r="AD65" s="352"/>
      <c r="AE65" s="352"/>
      <c r="AF65" s="352"/>
    </row>
    <row r="66" spans="27:32" ht="12.75">
      <c r="AA66" s="352">
        <f>IF(OR(G66=3,G66=0),0,(IF(G66=1,C63,C65)))</f>
        <v>0</v>
      </c>
      <c r="AB66" s="352">
        <f>IF(OR(G66=3,G66=0),0,(IF(G66=1,C65,C63)))</f>
        <v>0</v>
      </c>
      <c r="AC66" s="352"/>
      <c r="AD66" s="352"/>
      <c r="AE66" s="352"/>
      <c r="AF66" s="352"/>
    </row>
    <row r="67" spans="27:32" ht="12.75">
      <c r="AA67" s="352"/>
      <c r="AB67" s="352"/>
      <c r="AC67" s="352"/>
      <c r="AD67" s="352"/>
      <c r="AE67" s="352"/>
      <c r="AF67" s="352"/>
    </row>
    <row r="68" spans="27:32" ht="12.75">
      <c r="AA68" s="352"/>
      <c r="AB68" s="352"/>
      <c r="AC68" s="352"/>
      <c r="AD68" s="352"/>
      <c r="AE68" s="352">
        <f>IF(OR(O68=0,O68=3),0,IF(O68=1,AC64,AC72))</f>
        <v>0</v>
      </c>
      <c r="AF68" s="352">
        <f>IF(OR(O68=0,O68=3),0,IF(O68=1,AC72,AC64))</f>
        <v>0</v>
      </c>
    </row>
    <row r="69" spans="27:32" ht="12.75">
      <c r="AA69" s="352"/>
      <c r="AB69" s="352"/>
      <c r="AC69" s="352"/>
      <c r="AD69" s="352"/>
      <c r="AE69" s="352"/>
      <c r="AF69" s="352"/>
    </row>
    <row r="70" spans="27:32" ht="12.75">
      <c r="AA70" s="352">
        <f>IF(OR(G70=3,G70=0),0,(IF(G70=1,C67,C69)))</f>
        <v>0</v>
      </c>
      <c r="AB70" s="352">
        <f>IF(OR(G70=3,G70=0),0,(IF(G70=1,C69,C67)))</f>
        <v>0</v>
      </c>
      <c r="AC70" s="352"/>
      <c r="AD70" s="352"/>
      <c r="AE70" s="352"/>
      <c r="AF70" s="352"/>
    </row>
    <row r="71" spans="27:32" ht="12.75">
      <c r="AA71" s="352"/>
      <c r="AB71" s="352"/>
      <c r="AC71" s="352"/>
      <c r="AD71" s="352"/>
      <c r="AE71" s="352"/>
      <c r="AF71" s="352"/>
    </row>
    <row r="72" spans="27:32" ht="12.75">
      <c r="AA72" s="352"/>
      <c r="AB72" s="352"/>
      <c r="AC72" s="352">
        <f>IF(OR(K72=0,K72=3),0,IF(K72=1,AA70,AA74))</f>
        <v>0</v>
      </c>
      <c r="AD72" s="352">
        <f>IF(OR(K72=0,K72=3),0,IF(K72=1,AA74,AA70))</f>
        <v>0</v>
      </c>
      <c r="AE72" s="352"/>
      <c r="AF72" s="352"/>
    </row>
    <row r="73" spans="27:32" ht="12.75">
      <c r="AA73" s="352"/>
      <c r="AB73" s="352"/>
      <c r="AC73" s="352"/>
      <c r="AD73" s="352"/>
      <c r="AE73" s="352"/>
      <c r="AF73" s="352"/>
    </row>
    <row r="74" spans="27:32" ht="12.75">
      <c r="AA74" s="352">
        <f>IF(OR(G74=3,G74=0),0,(IF(G74=1,C71,C73)))</f>
        <v>0</v>
      </c>
      <c r="AB74" s="352">
        <f>IF(OR(G74=3,G74=0),0,(IF(G74=1,C73,C71)))</f>
        <v>0</v>
      </c>
      <c r="AC74" s="352"/>
      <c r="AD74" s="352"/>
      <c r="AE74" s="352"/>
      <c r="AF74" s="352"/>
    </row>
    <row r="75" spans="27:32" ht="12.75">
      <c r="AA75" s="352"/>
      <c r="AB75" s="352"/>
      <c r="AC75" s="352"/>
      <c r="AD75" s="352"/>
      <c r="AE75" s="352"/>
      <c r="AF75" s="352"/>
    </row>
    <row r="100" ht="12.75" hidden="1">
      <c r="C100" s="429" t="b">
        <v>0</v>
      </c>
    </row>
  </sheetData>
  <sheetProtection sheet="1" objects="1" scenarios="1" selectLockedCells="1"/>
  <mergeCells count="283">
    <mergeCell ref="AE9:AE10"/>
    <mergeCell ref="AF9:AF10"/>
    <mergeCell ref="AA9:AA10"/>
    <mergeCell ref="AB9:AB10"/>
    <mergeCell ref="AC9:AC10"/>
    <mergeCell ref="AD9:AD10"/>
    <mergeCell ref="T5:V5"/>
    <mergeCell ref="M5:R5"/>
    <mergeCell ref="E6:F6"/>
    <mergeCell ref="H6:J6"/>
    <mergeCell ref="L6:N6"/>
    <mergeCell ref="P6:R6"/>
    <mergeCell ref="D1:T1"/>
    <mergeCell ref="D2:T2"/>
    <mergeCell ref="D3:T3"/>
    <mergeCell ref="D4:T4"/>
    <mergeCell ref="A8:A10"/>
    <mergeCell ref="B8:B10"/>
    <mergeCell ref="C8:C10"/>
    <mergeCell ref="D8:D10"/>
    <mergeCell ref="T6:W6"/>
    <mergeCell ref="H5:L5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4:W14"/>
    <mergeCell ref="H15:J15"/>
    <mergeCell ref="P15:R15"/>
    <mergeCell ref="T15:W15"/>
    <mergeCell ref="H14:J14"/>
    <mergeCell ref="K14:M15"/>
    <mergeCell ref="N14:N15"/>
    <mergeCell ref="P14:R14"/>
    <mergeCell ref="E15:E16"/>
    <mergeCell ref="F15:F16"/>
    <mergeCell ref="E17:E18"/>
    <mergeCell ref="F17:F18"/>
    <mergeCell ref="A15:A16"/>
    <mergeCell ref="B15:B16"/>
    <mergeCell ref="C15:C16"/>
    <mergeCell ref="D15:D16"/>
    <mergeCell ref="G16:I17"/>
    <mergeCell ref="J16:J17"/>
    <mergeCell ref="L16:N16"/>
    <mergeCell ref="P16:R16"/>
    <mergeCell ref="T16:W16"/>
    <mergeCell ref="L17:N17"/>
    <mergeCell ref="P17:R17"/>
    <mergeCell ref="T17:W17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P21:R21"/>
    <mergeCell ref="T21:W21"/>
    <mergeCell ref="E21:E22"/>
    <mergeCell ref="F21:F22"/>
    <mergeCell ref="E23:E24"/>
    <mergeCell ref="F23:F24"/>
    <mergeCell ref="A21:A22"/>
    <mergeCell ref="B21:B22"/>
    <mergeCell ref="C21:C22"/>
    <mergeCell ref="D21:D22"/>
    <mergeCell ref="T22:W22"/>
    <mergeCell ref="H23:J23"/>
    <mergeCell ref="P23:R23"/>
    <mergeCell ref="T23:W23"/>
    <mergeCell ref="H22:J22"/>
    <mergeCell ref="K22:M23"/>
    <mergeCell ref="N22:N23"/>
    <mergeCell ref="P22:R22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F25:F26"/>
    <mergeCell ref="L25:N25"/>
    <mergeCell ref="P25:R25"/>
    <mergeCell ref="T24:W24"/>
    <mergeCell ref="G24:I25"/>
    <mergeCell ref="J24:J25"/>
    <mergeCell ref="L24:N24"/>
    <mergeCell ref="P24:R24"/>
    <mergeCell ref="T25:W25"/>
    <mergeCell ref="H26:J26"/>
    <mergeCell ref="L26:N26"/>
    <mergeCell ref="P26:R26"/>
    <mergeCell ref="S26:W27"/>
    <mergeCell ref="H27:J27"/>
    <mergeCell ref="L27:N27"/>
    <mergeCell ref="P27:R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G28:I29"/>
    <mergeCell ref="J28:J29"/>
    <mergeCell ref="L28:N28"/>
    <mergeCell ref="P28:R28"/>
    <mergeCell ref="E27:E28"/>
    <mergeCell ref="F27:F28"/>
    <mergeCell ref="P30:R30"/>
    <mergeCell ref="P31:R31"/>
    <mergeCell ref="A29:A30"/>
    <mergeCell ref="B29:B30"/>
    <mergeCell ref="C29:C30"/>
    <mergeCell ref="D29:D30"/>
    <mergeCell ref="A31:A32"/>
    <mergeCell ref="B31:B32"/>
    <mergeCell ref="C31:C32"/>
    <mergeCell ref="D31:D32"/>
    <mergeCell ref="F31:F32"/>
    <mergeCell ref="H31:J31"/>
    <mergeCell ref="H34:J34"/>
    <mergeCell ref="E31:E32"/>
    <mergeCell ref="T30:W30"/>
    <mergeCell ref="T31:W31"/>
    <mergeCell ref="T32:W32"/>
    <mergeCell ref="H30:J30"/>
    <mergeCell ref="K30:M31"/>
    <mergeCell ref="N30:N31"/>
    <mergeCell ref="L32:N32"/>
    <mergeCell ref="P32:R32"/>
    <mergeCell ref="T34:W34"/>
    <mergeCell ref="T35:W35"/>
    <mergeCell ref="L34:N34"/>
    <mergeCell ref="R34:R35"/>
    <mergeCell ref="O34:Q35"/>
    <mergeCell ref="L33:N33"/>
    <mergeCell ref="P33:R33"/>
    <mergeCell ref="E35:E36"/>
    <mergeCell ref="F35:F36"/>
    <mergeCell ref="L36:N36"/>
    <mergeCell ref="P36:R36"/>
    <mergeCell ref="T36:W36"/>
    <mergeCell ref="T33:W33"/>
    <mergeCell ref="E33:E34"/>
    <mergeCell ref="F33:F34"/>
    <mergeCell ref="G32:I33"/>
    <mergeCell ref="J32:J33"/>
    <mergeCell ref="P37:R37"/>
    <mergeCell ref="J36:J37"/>
    <mergeCell ref="L37:N37"/>
    <mergeCell ref="E37:E38"/>
    <mergeCell ref="A35:A36"/>
    <mergeCell ref="B35:B36"/>
    <mergeCell ref="H35:J35"/>
    <mergeCell ref="L35:N35"/>
    <mergeCell ref="C35:C36"/>
    <mergeCell ref="D35:D36"/>
    <mergeCell ref="F37:F38"/>
    <mergeCell ref="C33:C34"/>
    <mergeCell ref="T37:W37"/>
    <mergeCell ref="H38:J38"/>
    <mergeCell ref="K38:M39"/>
    <mergeCell ref="N38:N39"/>
    <mergeCell ref="P38:R38"/>
    <mergeCell ref="T38:W38"/>
    <mergeCell ref="H39:J39"/>
    <mergeCell ref="G36:I37"/>
    <mergeCell ref="A33:A34"/>
    <mergeCell ref="B33:B34"/>
    <mergeCell ref="A37:A38"/>
    <mergeCell ref="B37:B38"/>
    <mergeCell ref="C37:C38"/>
    <mergeCell ref="D37:D38"/>
    <mergeCell ref="D33:D34"/>
    <mergeCell ref="A39:A40"/>
    <mergeCell ref="B39:B40"/>
    <mergeCell ref="C39:C40"/>
    <mergeCell ref="D39:D40"/>
    <mergeCell ref="E39:E40"/>
    <mergeCell ref="F39:F40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P39:R39"/>
    <mergeCell ref="E41:E42"/>
    <mergeCell ref="F41:F42"/>
    <mergeCell ref="H43:I43"/>
    <mergeCell ref="N43:N44"/>
    <mergeCell ref="A41:A42"/>
    <mergeCell ref="B41:B42"/>
    <mergeCell ref="C41:C42"/>
    <mergeCell ref="D41:D42"/>
    <mergeCell ref="P43:T44"/>
    <mergeCell ref="H42:J42"/>
    <mergeCell ref="L42:N42"/>
    <mergeCell ref="P42:R42"/>
    <mergeCell ref="T42:W42"/>
    <mergeCell ref="U43:W44"/>
    <mergeCell ref="O43:O44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U51:W51"/>
    <mergeCell ref="H47:J47"/>
    <mergeCell ref="P47:T47"/>
    <mergeCell ref="U47:W47"/>
    <mergeCell ref="H48:J48"/>
    <mergeCell ref="P48:T48"/>
    <mergeCell ref="U48:W48"/>
    <mergeCell ref="P49:T49"/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</mergeCells>
  <conditionalFormatting sqref="E11">
    <cfRule type="expression" priority="1" dxfId="55" stopIfTrue="1">
      <formula>COUNTIF($O$45:$T$48,D11)&gt;0</formula>
    </cfRule>
  </conditionalFormatting>
  <conditionalFormatting sqref="J12:J13 J16:J17 J20:J21 J24:J25 J28:J29 J32:J33 J36:J37 J40:J41">
    <cfRule type="expression" priority="2" dxfId="55" stopIfTrue="1">
      <formula>COUNTIF($O$45:$T$48,$G12)&gt;0</formula>
    </cfRule>
  </conditionalFormatting>
  <conditionalFormatting sqref="N14:N15 N22:N23 N30:N31 N38:N39">
    <cfRule type="expression" priority="3" dxfId="55" stopIfTrue="1">
      <formula>COUNTIF($O$45:$T$48,$K14)&gt;0</formula>
    </cfRule>
  </conditionalFormatting>
  <conditionalFormatting sqref="R18:R19 R34:R35">
    <cfRule type="expression" priority="4" dxfId="55" stopIfTrue="1">
      <formula>COUNTIF($O$45:$T$48,$O18)&gt;0</formula>
    </cfRule>
  </conditionalFormatting>
  <conditionalFormatting sqref="A11 A13 A15:A42">
    <cfRule type="expression" priority="5" dxfId="55" stopIfTrue="1">
      <formula>COUNTIF($O$45:$T$48,$D11)&gt;0</formula>
    </cfRule>
  </conditionalFormatting>
  <conditionalFormatting sqref="C11:C42">
    <cfRule type="expression" priority="6" dxfId="56" stopIfTrue="1">
      <formula>AND(C11&lt;&gt;"Х",C11&lt;&gt;"х",COUNTIF($C$11:$C$74,C11)&gt;1)</formula>
    </cfRule>
  </conditionalFormatting>
  <conditionalFormatting sqref="G14 G18 G22 G26 G30 G34 G38 G42 S28 K32 K16 K24 K40 O20 O36">
    <cfRule type="cellIs" priority="7" dxfId="57" operator="notEqual" stopIfTrue="1">
      <formula>0</formula>
    </cfRule>
  </conditionalFormatting>
  <conditionalFormatting sqref="G44:I44 J44:J46">
    <cfRule type="expression" priority="8" dxfId="58" stopIfTrue="1">
      <formula>$C$62=TRUE</formula>
    </cfRule>
  </conditionalFormatting>
  <conditionalFormatting sqref="D48:G48 H47:J48">
    <cfRule type="expression" priority="9" dxfId="58" stopIfTrue="1">
      <formula>$C$100=TRUE</formula>
    </cfRule>
  </conditionalFormatting>
  <conditionalFormatting sqref="G47">
    <cfRule type="expression" priority="10" dxfId="58" stopIfTrue="1">
      <formula>$C$100=TRUE</formula>
    </cfRule>
    <cfRule type="cellIs" priority="11" dxfId="23" operator="notEqual" stopIfTrue="1">
      <formula>0</formula>
    </cfRule>
  </conditionalFormatting>
  <conditionalFormatting sqref="L46:L47">
    <cfRule type="expression" priority="12" dxfId="59" stopIfTrue="1">
      <formula>$C$100=TRUE</formula>
    </cfRule>
  </conditionalFormatting>
  <conditionalFormatting sqref="O34:Q35 G16:I17 G20:I21 G24:I25 G28:I29 G32:I33 G36:I37 G40:I41 K14:M15 K22:M23 K30:M31 K38:M39 O18:Q19 G12">
    <cfRule type="expression" priority="13" dxfId="55" stopIfTrue="1">
      <formula>COUNTIF($O$45:$T$48,G12)&gt;0</formula>
    </cfRule>
    <cfRule type="expression" priority="14" dxfId="60" stopIfTrue="1">
      <formula>LEFT(G12,4)="поб."</formula>
    </cfRule>
  </conditionalFormatting>
  <conditionalFormatting sqref="D44:F47">
    <cfRule type="expression" priority="15" dxfId="58" stopIfTrue="1">
      <formula>$C$100=TRUE</formula>
    </cfRule>
    <cfRule type="expression" priority="16" dxfId="60" stopIfTrue="1">
      <formula>LEFT(D44,3)="пр."</formula>
    </cfRule>
  </conditionalFormatting>
  <conditionalFormatting sqref="D11:D42">
    <cfRule type="expression" priority="17" dxfId="55" stopIfTrue="1">
      <formula>COUNTIF($P$45:$T$48,$D11)&gt;0</formula>
    </cfRule>
  </conditionalFormatting>
  <conditionalFormatting sqref="E13:E42">
    <cfRule type="expression" priority="18" dxfId="55" stopIfTrue="1">
      <formula>COUNTIF($O$45:$T$48,$D13)&gt;0</formula>
    </cfRule>
  </conditionalFormatting>
  <conditionalFormatting sqref="G45:I46">
    <cfRule type="expression" priority="19" dxfId="58" stopIfTrue="1">
      <formula>$C$100=TRUE</formula>
    </cfRule>
    <cfRule type="expression" priority="20" dxfId="60" stopIfTrue="1">
      <formula>LEFT($G45,4)="поб."</formula>
    </cfRule>
  </conditionalFormatting>
  <conditionalFormatting sqref="S26:W27">
    <cfRule type="expression" priority="21" dxfId="60" stopIfTrue="1">
      <formula>LEFT(S26,4)="поб."</formula>
    </cfRule>
    <cfRule type="expression" priority="22" dxfId="55" stopIfTrue="1">
      <formula>COUNTIF($O$45:$T$48,S26)&gt;0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4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F238"/>
  <sheetViews>
    <sheetView showGridLines="0" showRowColHeaders="0" zoomScale="85" zoomScaleNormal="85" zoomScalePageLayoutView="0" workbookViewId="0" topLeftCell="A1">
      <pane ySplit="6" topLeftCell="A7" activePane="bottomLeft" state="frozen"/>
      <selection pane="topLeft" activeCell="A5" sqref="A5:R5"/>
      <selection pane="bottomLeft" activeCell="B25" sqref="B25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7.75390625" style="0" customWidth="1"/>
    <col min="4" max="4" width="13.625" style="0" customWidth="1"/>
    <col min="5" max="5" width="10.75390625" style="0" customWidth="1"/>
    <col min="6" max="6" width="15.75390625" style="26" customWidth="1"/>
    <col min="7" max="7" width="8.75390625" style="26" customWidth="1"/>
    <col min="8" max="8" width="5.75390625" style="180" customWidth="1"/>
    <col min="9" max="12" width="3.00390625" style="188" hidden="1" customWidth="1"/>
    <col min="13" max="13" width="3.375" style="188" hidden="1" customWidth="1"/>
    <col min="14" max="14" width="10.25390625" style="188" hidden="1" customWidth="1"/>
    <col min="15" max="15" width="5.25390625" style="188" hidden="1" customWidth="1"/>
    <col min="16" max="16" width="21.25390625" style="189" hidden="1" customWidth="1"/>
    <col min="17" max="17" width="8.375" style="188" hidden="1" customWidth="1"/>
    <col min="18" max="18" width="9.125" style="188" hidden="1" customWidth="1"/>
    <col min="19" max="19" width="18.875" style="188" hidden="1" customWidth="1"/>
    <col min="20" max="26" width="9.125" style="0" hidden="1" customWidth="1"/>
    <col min="27" max="27" width="27.125" style="305" hidden="1" customWidth="1"/>
    <col min="28" max="28" width="8.00390625" style="305" hidden="1" customWidth="1"/>
    <col min="29" max="29" width="25.875" style="305" hidden="1" customWidth="1"/>
    <col min="30" max="30" width="9.00390625" style="305" hidden="1" customWidth="1"/>
    <col min="31" max="31" width="31.00390625" style="305" hidden="1" customWidth="1"/>
    <col min="32" max="32" width="6.125" style="305" hidden="1" customWidth="1"/>
  </cols>
  <sheetData>
    <row r="1" spans="2:6" ht="12.75">
      <c r="B1" s="555" t="s">
        <v>148</v>
      </c>
      <c r="C1" s="555"/>
      <c r="D1" s="555"/>
      <c r="E1" s="555"/>
      <c r="F1" s="555"/>
    </row>
    <row r="2" spans="2:6" ht="28.5" customHeight="1">
      <c r="B2" s="556" t="str">
        <f>UPPER(Установка!C3)</f>
        <v>ТВД-ЛЕТНЕЕ ПЕРВЕНСТВО Г.КАЗАНИ</v>
      </c>
      <c r="C2" s="556"/>
      <c r="D2" s="556"/>
      <c r="E2" s="556"/>
      <c r="F2" s="556"/>
    </row>
    <row r="3" spans="2:6" ht="12.75">
      <c r="B3" s="557" t="s">
        <v>3</v>
      </c>
      <c r="C3" s="557"/>
      <c r="D3" s="557"/>
      <c r="E3" s="557"/>
      <c r="F3" s="557"/>
    </row>
    <row r="4" spans="3:8" ht="20.25">
      <c r="C4" s="42" t="s">
        <v>1</v>
      </c>
      <c r="D4" s="684" t="str">
        <f>UPPER(Установка!C4)</f>
        <v>14 ЛЕТ И МОЛОЖЕ</v>
      </c>
      <c r="E4" s="684"/>
      <c r="F4" s="684"/>
      <c r="G4" s="687" t="str">
        <f>IF(Установка!C5="","Ю/Д/М/Ж",UPPER(Установка!C5))</f>
        <v>ДЕВУШКИ</v>
      </c>
      <c r="H4" s="687"/>
    </row>
    <row r="5" spans="3:8" ht="27.75" customHeight="1">
      <c r="C5" s="42"/>
      <c r="D5" s="2"/>
      <c r="E5" s="2"/>
      <c r="F5" s="2"/>
      <c r="G5" s="28"/>
      <c r="H5" s="178"/>
    </row>
    <row r="6" spans="1:31" ht="42" customHeight="1">
      <c r="A6" s="332" t="s">
        <v>16</v>
      </c>
      <c r="B6" s="332" t="s">
        <v>46</v>
      </c>
      <c r="C6" s="332" t="s">
        <v>43</v>
      </c>
      <c r="D6" s="332" t="s">
        <v>35</v>
      </c>
      <c r="E6" s="332" t="s">
        <v>45</v>
      </c>
      <c r="F6" s="332" t="s">
        <v>27</v>
      </c>
      <c r="G6" s="332" t="s">
        <v>41</v>
      </c>
      <c r="H6" s="179"/>
      <c r="P6" s="190">
        <v>1</v>
      </c>
      <c r="AA6" s="305" t="s">
        <v>155</v>
      </c>
      <c r="AC6" s="305" t="s">
        <v>156</v>
      </c>
      <c r="AE6" s="305" t="s">
        <v>157</v>
      </c>
    </row>
    <row r="7" spans="1:32" ht="37.5" customHeight="1" hidden="1">
      <c r="A7" s="685" t="s">
        <v>122</v>
      </c>
      <c r="B7" s="685"/>
      <c r="C7" s="685"/>
      <c r="D7" s="685"/>
      <c r="E7" s="685"/>
      <c r="F7" s="685"/>
      <c r="G7" s="685"/>
      <c r="AA7" s="517"/>
      <c r="AB7" s="511"/>
      <c r="AC7" s="510" t="b">
        <v>0</v>
      </c>
      <c r="AD7" s="511"/>
      <c r="AE7" s="510" t="b">
        <v>1</v>
      </c>
      <c r="AF7" s="511"/>
    </row>
    <row r="8" spans="1:32" s="109" customFormat="1" ht="21" customHeight="1" hidden="1">
      <c r="A8" s="333">
        <f aca="true" t="shared" si="0" ref="A8:A23">ROW()-7</f>
        <v>1</v>
      </c>
      <c r="B8" s="328"/>
      <c r="C8" s="329"/>
      <c r="D8" s="328"/>
      <c r="E8" s="330"/>
      <c r="F8" s="331"/>
      <c r="G8" s="331"/>
      <c r="H8" s="181"/>
      <c r="I8" s="191">
        <f aca="true" t="shared" si="1" ref="I8:I37">LEN(C8)</f>
        <v>0</v>
      </c>
      <c r="J8" s="191">
        <f aca="true" t="shared" si="2" ref="J8:J37">IF((I8)=0,0,FIND(" ",C8))</f>
        <v>0</v>
      </c>
      <c r="K8" s="191">
        <f aca="true" t="shared" si="3" ref="K8:K23">IF(OR(ISERR(J8),I8=0),"",CONCATENATE(MID(C8,J8+1,1),"."))</f>
      </c>
      <c r="L8" s="191">
        <f aca="true" t="shared" si="4" ref="L8:L37">IF(LEN(C8)=0,0,FIND(" ",C8,J8+1))</f>
        <v>0</v>
      </c>
      <c r="M8" s="191">
        <f aca="true" t="shared" si="5" ref="M8:M37">IF(OR(I8=0,ISERR(L8)),"",CONCATENATE(MID(C8,L8+1,1),"."))</f>
      </c>
      <c r="N8" s="191">
        <f aca="true" t="shared" si="6" ref="N8:N37">IF(C8="","",IF(ISERR(J8),UPPER(C8),UPPER(MID(C8,1,J8-1))))</f>
      </c>
      <c r="O8" s="191">
        <f aca="true" t="shared" si="7" ref="O8:O37">CONCATENATE(K8,M8)</f>
      </c>
      <c r="P8" s="192">
        <f>IF(N8="","",N8)</f>
      </c>
      <c r="Q8" s="191">
        <f>IF(LEN(C8)&lt;2,"",IF(ISERR(J8),UPPER(C8),UPPER(MID(C8,J8,L8-J8))))</f>
      </c>
      <c r="R8" s="357">
        <f>IF(N8="",0,COUNTIF(ПодгОТ!$N$8:$N$23,N8))</f>
        <v>0</v>
      </c>
      <c r="S8" s="191">
        <f aca="true" t="shared" si="8" ref="S8:S23">IF(R8&gt;1,CONCATENATE(N8,Q8),N8)</f>
      </c>
      <c r="AA8" s="676"/>
      <c r="AB8" s="678"/>
      <c r="AC8" s="676" t="str">
        <f>IF(ОТ!G14=0,CONCATENATE("пр.",ОТ!D11,"/",ОТ!D13),IF(ОТ!G14=1,ОТ!D13,IF(ОТ!G14=2,ОТ!D11,"Х")))</f>
        <v>х</v>
      </c>
      <c r="AD8" s="680">
        <f>IF(ОТ!G14=0,"",IF(ОТ!G14=1,ОТ!E13,IF(ОТ!G14=2,ОТ!E11,"")))</f>
      </c>
      <c r="AE8" s="682" t="str">
        <f>IF(ОТ!K16=0,CONCATENATE("пр.",ОТ!G12,"/",ОТ!G16),IF(ОТ!K16=1,ОТ!G16,IF(ОТ!K16=2,ОТ!G12,"Х")))</f>
        <v>ШАКИРОВА</v>
      </c>
      <c r="AF8" s="683" t="str">
        <f>IF(ОТ!K16=0,"",IF(ОТ!K16=1,ОТ!J16,IF(ОТ!K16=2,ОТ!J12,"")))</f>
        <v>Д.Э.</v>
      </c>
    </row>
    <row r="9" spans="1:32" s="109" customFormat="1" ht="21" customHeight="1" hidden="1">
      <c r="A9" s="333">
        <f t="shared" si="0"/>
        <v>2</v>
      </c>
      <c r="B9" s="328"/>
      <c r="C9" s="329"/>
      <c r="D9" s="328"/>
      <c r="E9" s="330"/>
      <c r="F9" s="331"/>
      <c r="G9" s="331"/>
      <c r="H9" s="181"/>
      <c r="I9" s="191">
        <f t="shared" si="1"/>
        <v>0</v>
      </c>
      <c r="J9" s="191">
        <f t="shared" si="2"/>
        <v>0</v>
      </c>
      <c r="K9" s="191">
        <f t="shared" si="3"/>
      </c>
      <c r="L9" s="191">
        <f t="shared" si="4"/>
        <v>0</v>
      </c>
      <c r="M9" s="191">
        <f t="shared" si="5"/>
      </c>
      <c r="N9" s="191">
        <f t="shared" si="6"/>
      </c>
      <c r="O9" s="191">
        <f t="shared" si="7"/>
      </c>
      <c r="P9" s="192">
        <f aca="true" t="shared" si="9" ref="P9:P37">IF(N9="","",N9)</f>
      </c>
      <c r="Q9" s="191">
        <f aca="true" t="shared" si="10" ref="Q9:Q23">IF(LEN(C9)&lt;2,"",IF(ISERR(J9),UPPER(C9),UPPER(MID(C9,J9,L9-J9))))</f>
      </c>
      <c r="R9" s="357">
        <f>IF(N9="",0,COUNTIF(ПодгОТ!$N$8:$N$23,N9))</f>
        <v>0</v>
      </c>
      <c r="S9" s="191">
        <f t="shared" si="8"/>
      </c>
      <c r="AA9" s="676"/>
      <c r="AB9" s="678"/>
      <c r="AC9" s="676"/>
      <c r="AD9" s="680"/>
      <c r="AE9" s="676"/>
      <c r="AF9" s="678"/>
    </row>
    <row r="10" spans="1:32" s="109" customFormat="1" ht="21" customHeight="1" hidden="1">
      <c r="A10" s="333">
        <f t="shared" si="0"/>
        <v>3</v>
      </c>
      <c r="B10" s="328"/>
      <c r="C10" s="329"/>
      <c r="D10" s="328"/>
      <c r="E10" s="330"/>
      <c r="F10" s="331"/>
      <c r="G10" s="331"/>
      <c r="H10" s="181"/>
      <c r="I10" s="191">
        <f t="shared" si="1"/>
        <v>0</v>
      </c>
      <c r="J10" s="191">
        <f t="shared" si="2"/>
        <v>0</v>
      </c>
      <c r="K10" s="191">
        <f t="shared" si="3"/>
      </c>
      <c r="L10" s="191">
        <f t="shared" si="4"/>
        <v>0</v>
      </c>
      <c r="M10" s="191">
        <f t="shared" si="5"/>
      </c>
      <c r="N10" s="191">
        <f t="shared" si="6"/>
      </c>
      <c r="O10" s="191">
        <f t="shared" si="7"/>
      </c>
      <c r="P10" s="192">
        <f t="shared" si="9"/>
      </c>
      <c r="Q10" s="191">
        <f t="shared" si="10"/>
      </c>
      <c r="R10" s="357">
        <f>IF(N10="",0,COUNTIF(ПодгОТ!$N$8:$N$23,N10))</f>
        <v>0</v>
      </c>
      <c r="S10" s="191">
        <f t="shared" si="8"/>
      </c>
      <c r="AA10" s="676"/>
      <c r="AB10" s="678"/>
      <c r="AC10" s="191"/>
      <c r="AD10" s="191"/>
      <c r="AE10" s="513"/>
      <c r="AF10" s="514"/>
    </row>
    <row r="11" spans="1:32" s="109" customFormat="1" ht="21" customHeight="1" hidden="1">
      <c r="A11" s="333">
        <f t="shared" si="0"/>
        <v>4</v>
      </c>
      <c r="B11" s="328"/>
      <c r="C11" s="329"/>
      <c r="D11" s="328"/>
      <c r="E11" s="330"/>
      <c r="F11" s="331"/>
      <c r="G11" s="331"/>
      <c r="H11" s="181"/>
      <c r="I11" s="191">
        <f>LEN(C11)</f>
        <v>0</v>
      </c>
      <c r="J11" s="191">
        <f>IF((I11)=0,0,FIND(" ",C11))</f>
        <v>0</v>
      </c>
      <c r="K11" s="191">
        <f>IF(OR(ISERR(J11),I11=0),"",CONCATENATE(MID(C11,J11+1,1),"."))</f>
      </c>
      <c r="L11" s="191">
        <f>IF(LEN(C11)=0,0,FIND(" ",C11,J11+1))</f>
        <v>0</v>
      </c>
      <c r="M11" s="191">
        <f>IF(OR(I11=0,ISERR(L11)),"",CONCATENATE(MID(C11,L11+1,1),"."))</f>
      </c>
      <c r="N11" s="191">
        <f>IF(C11="","",IF(ISERR(J11),UPPER(C11),UPPER(MID(C11,1,J11-1))))</f>
      </c>
      <c r="O11" s="191">
        <f>CONCATENATE(K11,M11)</f>
      </c>
      <c r="P11" s="192">
        <f t="shared" si="9"/>
      </c>
      <c r="Q11" s="191">
        <f t="shared" si="10"/>
      </c>
      <c r="R11" s="357">
        <f>IF(N11="",0,COUNTIF(ПодгОТ!$N$8:$N$23,N11))</f>
        <v>0</v>
      </c>
      <c r="S11" s="191">
        <f t="shared" si="8"/>
      </c>
      <c r="AA11" s="676"/>
      <c r="AB11" s="678"/>
      <c r="AC11" s="191"/>
      <c r="AD11" s="191"/>
      <c r="AE11" s="513"/>
      <c r="AF11" s="514"/>
    </row>
    <row r="12" spans="1:32" s="109" customFormat="1" ht="21" customHeight="1" hidden="1">
      <c r="A12" s="333">
        <f t="shared" si="0"/>
        <v>5</v>
      </c>
      <c r="B12" s="328"/>
      <c r="C12" s="329"/>
      <c r="D12" s="328"/>
      <c r="E12" s="330"/>
      <c r="F12" s="331"/>
      <c r="G12" s="331"/>
      <c r="H12" s="181"/>
      <c r="I12" s="191">
        <f t="shared" si="1"/>
        <v>0</v>
      </c>
      <c r="J12" s="191">
        <f t="shared" si="2"/>
        <v>0</v>
      </c>
      <c r="K12" s="191">
        <f t="shared" si="3"/>
      </c>
      <c r="L12" s="191">
        <f t="shared" si="4"/>
        <v>0</v>
      </c>
      <c r="M12" s="191">
        <f t="shared" si="5"/>
      </c>
      <c r="N12" s="191">
        <f t="shared" si="6"/>
      </c>
      <c r="O12" s="191">
        <f t="shared" si="7"/>
      </c>
      <c r="P12" s="192">
        <f t="shared" si="9"/>
      </c>
      <c r="Q12" s="191">
        <f t="shared" si="10"/>
      </c>
      <c r="R12" s="357">
        <f>IF(N12="",0,COUNTIF(ПодгОТ!$N$8:$N$23,N12))</f>
        <v>0</v>
      </c>
      <c r="S12" s="191">
        <f t="shared" si="8"/>
      </c>
      <c r="AA12" s="676"/>
      <c r="AB12" s="678"/>
      <c r="AC12" s="676" t="str">
        <f>IF(ОТ!G18=0,CONCATENATE("пр.",ОТ!D15,"/",ОТ!D17),IF(ОТ!G18=1,ОТ!D17,IF(ОТ!G18=2,ОТ!D15,"Х")))</f>
        <v>х</v>
      </c>
      <c r="AD12" s="680">
        <f>IF(ОТ!G18=0,"",IF(ОТ!G18=1,ОТ!E17,IF(ОТ!G18=2,ОТ!E15,"")))</f>
      </c>
      <c r="AE12" s="676" t="str">
        <f>IF(ОТ!K24=0,CONCATENATE("пр.",ОТ!G20,"/",ОТ!G24),IF(ОТ!K24=1,ОТ!G24,IF(ОТ!K24=2,ОТ!G20,"Х")))</f>
        <v>ШИМАРИНА</v>
      </c>
      <c r="AF12" s="678" t="str">
        <f>IF(ОТ!K24=0,"",IF(ОТ!K24=1,ОТ!J24,IF(ОТ!K24=2,ОТ!J20,"")))</f>
        <v>Л.С.</v>
      </c>
    </row>
    <row r="13" spans="1:32" s="109" customFormat="1" ht="21" customHeight="1" hidden="1">
      <c r="A13" s="333">
        <f t="shared" si="0"/>
        <v>6</v>
      </c>
      <c r="B13" s="328"/>
      <c r="C13" s="329"/>
      <c r="D13" s="328"/>
      <c r="E13" s="330"/>
      <c r="F13" s="331"/>
      <c r="G13" s="331"/>
      <c r="H13" s="181"/>
      <c r="I13" s="191">
        <f t="shared" si="1"/>
        <v>0</v>
      </c>
      <c r="J13" s="191">
        <f t="shared" si="2"/>
        <v>0</v>
      </c>
      <c r="K13" s="191">
        <f t="shared" si="3"/>
      </c>
      <c r="L13" s="191">
        <f t="shared" si="4"/>
        <v>0</v>
      </c>
      <c r="M13" s="191">
        <f t="shared" si="5"/>
      </c>
      <c r="N13" s="191">
        <f t="shared" si="6"/>
      </c>
      <c r="O13" s="191">
        <f t="shared" si="7"/>
      </c>
      <c r="P13" s="192">
        <f t="shared" si="9"/>
      </c>
      <c r="Q13" s="191">
        <f t="shared" si="10"/>
      </c>
      <c r="R13" s="357">
        <f>IF(N13="",0,COUNTIF(ПодгОТ!$N$8:$N$23,N13))</f>
        <v>0</v>
      </c>
      <c r="S13" s="191">
        <f t="shared" si="8"/>
      </c>
      <c r="AA13" s="676"/>
      <c r="AB13" s="678"/>
      <c r="AC13" s="676"/>
      <c r="AD13" s="680"/>
      <c r="AE13" s="676"/>
      <c r="AF13" s="678"/>
    </row>
    <row r="14" spans="1:32" s="109" customFormat="1" ht="21" customHeight="1" hidden="1">
      <c r="A14" s="333">
        <f t="shared" si="0"/>
        <v>7</v>
      </c>
      <c r="B14" s="328"/>
      <c r="C14" s="329"/>
      <c r="D14" s="328"/>
      <c r="E14" s="330"/>
      <c r="F14" s="331"/>
      <c r="G14" s="331"/>
      <c r="H14" s="181"/>
      <c r="I14" s="191">
        <f t="shared" si="1"/>
        <v>0</v>
      </c>
      <c r="J14" s="191">
        <f t="shared" si="2"/>
        <v>0</v>
      </c>
      <c r="K14" s="191">
        <f t="shared" si="3"/>
      </c>
      <c r="L14" s="191">
        <f t="shared" si="4"/>
        <v>0</v>
      </c>
      <c r="M14" s="191">
        <f t="shared" si="5"/>
      </c>
      <c r="N14" s="191">
        <f t="shared" si="6"/>
      </c>
      <c r="O14" s="191">
        <f t="shared" si="7"/>
      </c>
      <c r="P14" s="192">
        <f t="shared" si="9"/>
      </c>
      <c r="Q14" s="191">
        <f t="shared" si="10"/>
      </c>
      <c r="R14" s="357">
        <f>IF(N14="",0,COUNTIF(ПодгОТ!$N$8:$N$23,N14))</f>
        <v>0</v>
      </c>
      <c r="S14" s="191">
        <f t="shared" si="8"/>
      </c>
      <c r="AA14" s="676"/>
      <c r="AB14" s="678"/>
      <c r="AC14" s="191"/>
      <c r="AD14" s="191"/>
      <c r="AE14" s="513"/>
      <c r="AF14" s="514"/>
    </row>
    <row r="15" spans="1:32" s="109" customFormat="1" ht="21" customHeight="1" hidden="1">
      <c r="A15" s="333">
        <f t="shared" si="0"/>
        <v>8</v>
      </c>
      <c r="B15" s="328"/>
      <c r="C15" s="329"/>
      <c r="D15" s="328"/>
      <c r="E15" s="330"/>
      <c r="F15" s="331"/>
      <c r="G15" s="331"/>
      <c r="H15" s="181"/>
      <c r="I15" s="191">
        <f t="shared" si="1"/>
        <v>0</v>
      </c>
      <c r="J15" s="191">
        <f t="shared" si="2"/>
        <v>0</v>
      </c>
      <c r="K15" s="191">
        <f t="shared" si="3"/>
      </c>
      <c r="L15" s="191">
        <f t="shared" si="4"/>
        <v>0</v>
      </c>
      <c r="M15" s="191">
        <f t="shared" si="5"/>
      </c>
      <c r="N15" s="191">
        <f t="shared" si="6"/>
      </c>
      <c r="O15" s="191">
        <f t="shared" si="7"/>
      </c>
      <c r="P15" s="192">
        <f t="shared" si="9"/>
      </c>
      <c r="Q15" s="191">
        <f t="shared" si="10"/>
      </c>
      <c r="R15" s="357">
        <f>IF(N15="",0,COUNTIF(ПодгОТ!$N$8:$N$23,N15))</f>
        <v>0</v>
      </c>
      <c r="S15" s="191">
        <f t="shared" si="8"/>
      </c>
      <c r="AA15" s="676"/>
      <c r="AB15" s="678"/>
      <c r="AC15" s="191"/>
      <c r="AD15" s="191"/>
      <c r="AE15" s="513"/>
      <c r="AF15" s="514"/>
    </row>
    <row r="16" spans="1:32" s="109" customFormat="1" ht="21" customHeight="1" hidden="1">
      <c r="A16" s="334">
        <f t="shared" si="0"/>
        <v>9</v>
      </c>
      <c r="B16" s="328"/>
      <c r="C16" s="329"/>
      <c r="D16" s="328"/>
      <c r="E16" s="330"/>
      <c r="F16" s="331"/>
      <c r="G16" s="331"/>
      <c r="H16" s="181"/>
      <c r="I16" s="191">
        <f t="shared" si="1"/>
        <v>0</v>
      </c>
      <c r="J16" s="191">
        <f t="shared" si="2"/>
        <v>0</v>
      </c>
      <c r="K16" s="191">
        <f t="shared" si="3"/>
      </c>
      <c r="L16" s="191">
        <f t="shared" si="4"/>
        <v>0</v>
      </c>
      <c r="M16" s="191">
        <f t="shared" si="5"/>
      </c>
      <c r="N16" s="191">
        <f t="shared" si="6"/>
      </c>
      <c r="O16" s="191">
        <f t="shared" si="7"/>
      </c>
      <c r="P16" s="192">
        <f t="shared" si="9"/>
      </c>
      <c r="Q16" s="191">
        <f t="shared" si="10"/>
      </c>
      <c r="R16" s="357">
        <f>IF(N16="",0,COUNTIF(ПодгОТ!$N$8:$N$23,N16))</f>
        <v>0</v>
      </c>
      <c r="S16" s="191">
        <f t="shared" si="8"/>
      </c>
      <c r="AA16" s="676"/>
      <c r="AB16" s="678"/>
      <c r="AC16" s="676" t="str">
        <f>IF(ОТ!G22=0,CONCATENATE("пр.",ОТ!D19,"/",ОТ!D21),IF(ОТ!G22=1,ОТ!D21,IF(ОТ!G22=2,ОТ!D19,"Х")))</f>
        <v>х</v>
      </c>
      <c r="AD16" s="680">
        <f>IF(ОТ!G22=0,"",IF(ОТ!G22=1,ОТ!E21,IF(ОТ!G22=2,ОТ!E19,"")))</f>
      </c>
      <c r="AE16" s="676" t="str">
        <f>IF(ОТ!K32=0,CONCATENATE("пр.",ОТ!G28,"/",ОТ!G32),IF(ОТ!K32=1,ОТ!G32,IF(ОТ!K32=2,ОТ!G28,"Х")))</f>
        <v>НИГМЕДЗЯНОВА</v>
      </c>
      <c r="AF16" s="678" t="str">
        <f>IF(ОТ!K32=0,"",IF(ОТ!K32=1,ОТ!J32,IF(ОТ!K32=2,ОТ!J28,"")))</f>
        <v>Д.И.</v>
      </c>
    </row>
    <row r="17" spans="1:32" s="109" customFormat="1" ht="21" customHeight="1" hidden="1">
      <c r="A17" s="334">
        <f t="shared" si="0"/>
        <v>10</v>
      </c>
      <c r="B17" s="328"/>
      <c r="C17" s="329"/>
      <c r="D17" s="328"/>
      <c r="E17" s="330"/>
      <c r="F17" s="331"/>
      <c r="G17" s="331"/>
      <c r="H17" s="181"/>
      <c r="I17" s="191">
        <f t="shared" si="1"/>
        <v>0</v>
      </c>
      <c r="J17" s="191">
        <f t="shared" si="2"/>
        <v>0</v>
      </c>
      <c r="K17" s="191">
        <f t="shared" si="3"/>
      </c>
      <c r="L17" s="191">
        <f t="shared" si="4"/>
        <v>0</v>
      </c>
      <c r="M17" s="191">
        <f t="shared" si="5"/>
      </c>
      <c r="N17" s="191">
        <f t="shared" si="6"/>
      </c>
      <c r="O17" s="191">
        <f t="shared" si="7"/>
      </c>
      <c r="P17" s="192">
        <f t="shared" si="9"/>
      </c>
      <c r="Q17" s="191">
        <f t="shared" si="10"/>
      </c>
      <c r="R17" s="357">
        <f>IF(N17="",0,COUNTIF(ПодгОТ!$N$8:$N$23,N17))</f>
        <v>0</v>
      </c>
      <c r="S17" s="191">
        <f t="shared" si="8"/>
      </c>
      <c r="AA17" s="676"/>
      <c r="AB17" s="678"/>
      <c r="AC17" s="676"/>
      <c r="AD17" s="680"/>
      <c r="AE17" s="676"/>
      <c r="AF17" s="678"/>
    </row>
    <row r="18" spans="1:32" s="109" customFormat="1" ht="21" customHeight="1" hidden="1">
      <c r="A18" s="334">
        <f t="shared" si="0"/>
        <v>11</v>
      </c>
      <c r="B18" s="328"/>
      <c r="C18" s="329"/>
      <c r="D18" s="328"/>
      <c r="E18" s="330"/>
      <c r="F18" s="331"/>
      <c r="G18" s="331"/>
      <c r="H18" s="181"/>
      <c r="I18" s="191">
        <f t="shared" si="1"/>
        <v>0</v>
      </c>
      <c r="J18" s="191">
        <f t="shared" si="2"/>
        <v>0</v>
      </c>
      <c r="K18" s="191">
        <f t="shared" si="3"/>
      </c>
      <c r="L18" s="191">
        <f t="shared" si="4"/>
        <v>0</v>
      </c>
      <c r="M18" s="191">
        <f t="shared" si="5"/>
      </c>
      <c r="N18" s="191">
        <f t="shared" si="6"/>
      </c>
      <c r="O18" s="191">
        <f t="shared" si="7"/>
      </c>
      <c r="P18" s="192">
        <f t="shared" si="9"/>
      </c>
      <c r="Q18" s="191">
        <f t="shared" si="10"/>
      </c>
      <c r="R18" s="357">
        <f>IF(N18="",0,COUNTIF(ПодгОТ!$N$8:$N$23,N18))</f>
        <v>0</v>
      </c>
      <c r="S18" s="191">
        <f t="shared" si="8"/>
      </c>
      <c r="AA18" s="676"/>
      <c r="AB18" s="678"/>
      <c r="AC18" s="191"/>
      <c r="AD18" s="191"/>
      <c r="AE18" s="676"/>
      <c r="AF18" s="512"/>
    </row>
    <row r="19" spans="1:32" s="109" customFormat="1" ht="21" customHeight="1" hidden="1">
      <c r="A19" s="334">
        <f t="shared" si="0"/>
        <v>12</v>
      </c>
      <c r="B19" s="328"/>
      <c r="C19" s="329"/>
      <c r="D19" s="328"/>
      <c r="E19" s="330"/>
      <c r="F19" s="331"/>
      <c r="G19" s="331"/>
      <c r="H19" s="181"/>
      <c r="I19" s="191">
        <f t="shared" si="1"/>
        <v>0</v>
      </c>
      <c r="J19" s="191">
        <f t="shared" si="2"/>
        <v>0</v>
      </c>
      <c r="K19" s="191">
        <f t="shared" si="3"/>
      </c>
      <c r="L19" s="191">
        <f t="shared" si="4"/>
        <v>0</v>
      </c>
      <c r="M19" s="191">
        <f t="shared" si="5"/>
      </c>
      <c r="N19" s="191">
        <f t="shared" si="6"/>
      </c>
      <c r="O19" s="191">
        <f t="shared" si="7"/>
      </c>
      <c r="P19" s="192">
        <f t="shared" si="9"/>
      </c>
      <c r="Q19" s="191">
        <f t="shared" si="10"/>
      </c>
      <c r="R19" s="357">
        <f>IF(N19="",0,COUNTIF(ПодгОТ!$N$8:$N$23,N19))</f>
        <v>0</v>
      </c>
      <c r="S19" s="191">
        <f t="shared" si="8"/>
      </c>
      <c r="AA19" s="676"/>
      <c r="AB19" s="678"/>
      <c r="AC19" s="191"/>
      <c r="AD19" s="191"/>
      <c r="AE19" s="676"/>
      <c r="AF19" s="512"/>
    </row>
    <row r="20" spans="1:32" s="109" customFormat="1" ht="21" customHeight="1" hidden="1">
      <c r="A20" s="334">
        <f t="shared" si="0"/>
        <v>13</v>
      </c>
      <c r="B20" s="328"/>
      <c r="C20" s="329"/>
      <c r="D20" s="328"/>
      <c r="E20" s="330"/>
      <c r="F20" s="331"/>
      <c r="G20" s="331"/>
      <c r="H20" s="181"/>
      <c r="I20" s="191">
        <f t="shared" si="1"/>
        <v>0</v>
      </c>
      <c r="J20" s="191">
        <f t="shared" si="2"/>
        <v>0</v>
      </c>
      <c r="K20" s="191">
        <f t="shared" si="3"/>
      </c>
      <c r="L20" s="191">
        <f t="shared" si="4"/>
        <v>0</v>
      </c>
      <c r="M20" s="191">
        <f t="shared" si="5"/>
      </c>
      <c r="N20" s="191">
        <f t="shared" si="6"/>
      </c>
      <c r="O20" s="191">
        <f t="shared" si="7"/>
      </c>
      <c r="P20" s="192">
        <f t="shared" si="9"/>
      </c>
      <c r="Q20" s="191">
        <f t="shared" si="10"/>
      </c>
      <c r="R20" s="357">
        <f>IF(N20="",0,COUNTIF(ПодгОТ!$N$8:$N$23,N20))</f>
        <v>0</v>
      </c>
      <c r="S20" s="191">
        <f t="shared" si="8"/>
      </c>
      <c r="AA20" s="676"/>
      <c r="AB20" s="678"/>
      <c r="AC20" s="676" t="str">
        <f>IF(ОТ!G26=0,CONCATENATE("пр.",ОТ!D23,"/",ОТ!D25),IF(ОТ!G26=1,ОТ!D25,IF(ОТ!G26=2,ОТ!D23,"Х")))</f>
        <v>СУНГАТУЛЛИНА</v>
      </c>
      <c r="AD20" s="680" t="str">
        <f>IF(ОТ!G26=0,"",IF(ОТ!G26=1,ОТ!E25,IF(ОТ!G26=2,ОТ!E23,"")))</f>
        <v>Э.Э.</v>
      </c>
      <c r="AE20" s="676" t="str">
        <f>IF(ОТ!K40=0,CONCATENATE("пр.",ОТ!G36,"/",ОТ!G40),IF(ОТ!K40=1,ОТ!G40,IF(ОТ!K40=2,ОТ!G36,"Х")))</f>
        <v>МАТВЕЕВА</v>
      </c>
      <c r="AF20" s="678" t="str">
        <f>IF(ОТ!K40=0,"",IF(ОТ!K40=1,ОТ!J40,IF(ОТ!K40=2,ОТ!J36,"")))</f>
        <v>Е.А.</v>
      </c>
    </row>
    <row r="21" spans="1:32" s="109" customFormat="1" ht="21" customHeight="1" hidden="1">
      <c r="A21" s="334">
        <f t="shared" si="0"/>
        <v>14</v>
      </c>
      <c r="B21" s="328"/>
      <c r="C21" s="329"/>
      <c r="D21" s="328"/>
      <c r="E21" s="330"/>
      <c r="F21" s="331"/>
      <c r="G21" s="331"/>
      <c r="H21" s="181"/>
      <c r="I21" s="191">
        <f t="shared" si="1"/>
        <v>0</v>
      </c>
      <c r="J21" s="191">
        <f t="shared" si="2"/>
        <v>0</v>
      </c>
      <c r="K21" s="191">
        <f t="shared" si="3"/>
      </c>
      <c r="L21" s="191">
        <f t="shared" si="4"/>
        <v>0</v>
      </c>
      <c r="M21" s="191">
        <f t="shared" si="5"/>
      </c>
      <c r="N21" s="191">
        <f t="shared" si="6"/>
      </c>
      <c r="O21" s="191">
        <f t="shared" si="7"/>
      </c>
      <c r="P21" s="192">
        <f t="shared" si="9"/>
      </c>
      <c r="Q21" s="191">
        <f t="shared" si="10"/>
      </c>
      <c r="R21" s="357">
        <f>IF(N21="",0,COUNTIF(ПодгОТ!$N$8:$N$23,N21))</f>
        <v>0</v>
      </c>
      <c r="S21" s="191">
        <f t="shared" si="8"/>
      </c>
      <c r="AA21" s="676"/>
      <c r="AB21" s="678"/>
      <c r="AC21" s="676"/>
      <c r="AD21" s="680"/>
      <c r="AE21" s="676"/>
      <c r="AF21" s="678"/>
    </row>
    <row r="22" spans="1:32" s="109" customFormat="1" ht="21" customHeight="1" hidden="1">
      <c r="A22" s="334">
        <f t="shared" si="0"/>
        <v>15</v>
      </c>
      <c r="B22" s="328"/>
      <c r="C22" s="329"/>
      <c r="D22" s="328"/>
      <c r="E22" s="330"/>
      <c r="F22" s="331"/>
      <c r="G22" s="331"/>
      <c r="H22" s="181"/>
      <c r="I22" s="191">
        <f t="shared" si="1"/>
        <v>0</v>
      </c>
      <c r="J22" s="191">
        <f t="shared" si="2"/>
        <v>0</v>
      </c>
      <c r="K22" s="191">
        <f t="shared" si="3"/>
      </c>
      <c r="L22" s="191">
        <f t="shared" si="4"/>
        <v>0</v>
      </c>
      <c r="M22" s="191">
        <f t="shared" si="5"/>
      </c>
      <c r="N22" s="191">
        <f t="shared" si="6"/>
      </c>
      <c r="O22" s="191">
        <f t="shared" si="7"/>
      </c>
      <c r="P22" s="192">
        <f t="shared" si="9"/>
      </c>
      <c r="Q22" s="191">
        <f t="shared" si="10"/>
      </c>
      <c r="R22" s="357">
        <f>IF(N22="",0,COUNTIF(ПодгОТ!$N$8:$N$23,N22))</f>
        <v>0</v>
      </c>
      <c r="S22" s="191">
        <f t="shared" si="8"/>
      </c>
      <c r="AA22" s="676"/>
      <c r="AB22" s="678"/>
      <c r="AC22" s="520"/>
      <c r="AD22" s="520"/>
      <c r="AE22" s="676"/>
      <c r="AF22" s="512"/>
    </row>
    <row r="23" spans="1:32" s="109" customFormat="1" ht="21" customHeight="1" hidden="1">
      <c r="A23" s="334">
        <f t="shared" si="0"/>
        <v>16</v>
      </c>
      <c r="B23" s="328"/>
      <c r="C23" s="329"/>
      <c r="D23" s="328"/>
      <c r="E23" s="330"/>
      <c r="F23" s="331"/>
      <c r="G23" s="331"/>
      <c r="H23" s="181"/>
      <c r="I23" s="191">
        <f t="shared" si="1"/>
        <v>0</v>
      </c>
      <c r="J23" s="191">
        <f t="shared" si="2"/>
        <v>0</v>
      </c>
      <c r="K23" s="191">
        <f t="shared" si="3"/>
      </c>
      <c r="L23" s="191">
        <f t="shared" si="4"/>
        <v>0</v>
      </c>
      <c r="M23" s="191">
        <f t="shared" si="5"/>
      </c>
      <c r="N23" s="191">
        <f t="shared" si="6"/>
      </c>
      <c r="O23" s="191">
        <f t="shared" si="7"/>
      </c>
      <c r="P23" s="192">
        <f t="shared" si="9"/>
      </c>
      <c r="Q23" s="191">
        <f t="shared" si="10"/>
      </c>
      <c r="R23" s="357">
        <f>IF(N23="",0,COUNTIF(ПодгОТ!$N$8:$N$23,N23))</f>
        <v>0</v>
      </c>
      <c r="S23" s="191">
        <f t="shared" si="8"/>
      </c>
      <c r="AA23" s="676"/>
      <c r="AB23" s="678"/>
      <c r="AC23" s="520"/>
      <c r="AD23" s="520"/>
      <c r="AE23" s="676"/>
      <c r="AF23" s="512"/>
    </row>
    <row r="24" spans="1:32" ht="37.5" customHeight="1">
      <c r="A24" s="686" t="s">
        <v>123</v>
      </c>
      <c r="B24" s="686"/>
      <c r="C24" s="686"/>
      <c r="D24" s="686"/>
      <c r="E24" s="686"/>
      <c r="F24" s="686"/>
      <c r="G24" s="686"/>
      <c r="Q24" s="191"/>
      <c r="R24" s="357"/>
      <c r="S24" s="191"/>
      <c r="AA24" s="676"/>
      <c r="AB24" s="678"/>
      <c r="AC24" s="676" t="str">
        <f>IF(ОТ!G30=0,CONCATENATE("пр.",ОТ!D27,"/",ОТ!D29),IF(ОТ!G30=1,ОТ!D29,IF(ОТ!G30=2,ОТ!D27,"Х")))</f>
        <v>МАКСИМОВА</v>
      </c>
      <c r="AD24" s="680" t="str">
        <f>IF(ОТ!G30=0,"",IF(ОТ!G30=1,ОТ!E29,IF(ОТ!G30=2,ОТ!E27,"")))</f>
        <v>О.С.</v>
      </c>
      <c r="AE24" s="676"/>
      <c r="AF24" s="688"/>
    </row>
    <row r="25" spans="1:32" s="109" customFormat="1" ht="21" customHeight="1">
      <c r="A25" s="334">
        <f>ROW()-24</f>
        <v>1</v>
      </c>
      <c r="B25" s="328"/>
      <c r="C25" s="329"/>
      <c r="D25" s="328"/>
      <c r="E25" s="330"/>
      <c r="F25" s="331"/>
      <c r="G25" s="331"/>
      <c r="H25" s="181"/>
      <c r="I25" s="191">
        <f t="shared" si="1"/>
        <v>0</v>
      </c>
      <c r="J25" s="191">
        <f t="shared" si="2"/>
        <v>0</v>
      </c>
      <c r="K25" s="191">
        <f>IF(OR(ISERR(J25),I25=0),"",CONCATENATE(UPPER(MID(C25,J25+1,1)),"."))</f>
      </c>
      <c r="L25" s="191">
        <f t="shared" si="4"/>
        <v>0</v>
      </c>
      <c r="M25" s="191">
        <f t="shared" si="5"/>
      </c>
      <c r="N25" s="191">
        <f t="shared" si="6"/>
      </c>
      <c r="O25" s="191">
        <f t="shared" si="7"/>
      </c>
      <c r="P25" s="192">
        <f t="shared" si="9"/>
      </c>
      <c r="Q25" s="191">
        <f>IF(LEN(C25)&lt;2,"",IF(ISERR(J25),"",IF(ISERR(L25),UPPER(MID(C25,J25,I25-J25+1)),UPPER(MID(C25,J25,L25-J25)))))</f>
      </c>
      <c r="R25" s="357">
        <f>IF(N25="",0,COUNTIF(ПодгОТ!$N$8:$N$23,N25))</f>
        <v>0</v>
      </c>
      <c r="S25" s="191">
        <f aca="true" t="shared" si="11" ref="S25:S32">IF(R25&gt;1,CONCATENATE(N25,Q25),N25)</f>
      </c>
      <c r="AA25" s="676"/>
      <c r="AB25" s="678"/>
      <c r="AC25" s="676"/>
      <c r="AD25" s="680"/>
      <c r="AE25" s="676"/>
      <c r="AF25" s="688"/>
    </row>
    <row r="26" spans="1:32" s="109" customFormat="1" ht="21" customHeight="1">
      <c r="A26" s="334">
        <f aca="true" t="shared" si="12" ref="A26:A32">ROW()-24</f>
        <v>2</v>
      </c>
      <c r="B26" s="328"/>
      <c r="C26" s="329"/>
      <c r="D26" s="328"/>
      <c r="E26" s="330"/>
      <c r="F26" s="331"/>
      <c r="G26" s="331"/>
      <c r="H26" s="181"/>
      <c r="I26" s="191">
        <f t="shared" si="1"/>
        <v>0</v>
      </c>
      <c r="J26" s="191">
        <f t="shared" si="2"/>
        <v>0</v>
      </c>
      <c r="K26" s="191">
        <f aca="true" t="shared" si="13" ref="K26:K37">IF(OR(ISERR(J26),I26=0),"",CONCATENATE(UPPER(MID(C26,J26+1,1)),"."))</f>
      </c>
      <c r="L26" s="191">
        <f t="shared" si="4"/>
        <v>0</v>
      </c>
      <c r="M26" s="191">
        <f t="shared" si="5"/>
      </c>
      <c r="N26" s="191">
        <f t="shared" si="6"/>
      </c>
      <c r="O26" s="191">
        <f t="shared" si="7"/>
      </c>
      <c r="P26" s="192">
        <f t="shared" si="9"/>
      </c>
      <c r="Q26" s="191">
        <f aca="true" t="shared" si="14" ref="Q26:Q37">IF(LEN(C26)&lt;2,"",IF(ISERR(J26),"",IF(ISERR(L26),UPPER(MID(C26,J26,I26-J26+1)),UPPER(MID(C26,J26,L26-J26)))))</f>
      </c>
      <c r="R26" s="357">
        <f>IF(N26="",0,COUNTIF(ПодгОТ!$N$8:$N$23,N26))</f>
        <v>0</v>
      </c>
      <c r="S26" s="191">
        <f t="shared" si="11"/>
      </c>
      <c r="AA26" s="676"/>
      <c r="AB26" s="678"/>
      <c r="AC26" s="676"/>
      <c r="AD26" s="680"/>
      <c r="AE26" s="676"/>
      <c r="AF26" s="514"/>
    </row>
    <row r="27" spans="1:32" s="109" customFormat="1" ht="21" customHeight="1">
      <c r="A27" s="334">
        <f t="shared" si="12"/>
        <v>3</v>
      </c>
      <c r="B27" s="328"/>
      <c r="C27" s="329"/>
      <c r="D27" s="328"/>
      <c r="E27" s="330"/>
      <c r="F27" s="331"/>
      <c r="G27" s="331"/>
      <c r="H27" s="181"/>
      <c r="I27" s="191">
        <f t="shared" si="1"/>
        <v>0</v>
      </c>
      <c r="J27" s="191">
        <f t="shared" si="2"/>
        <v>0</v>
      </c>
      <c r="K27" s="191">
        <f t="shared" si="13"/>
      </c>
      <c r="L27" s="191">
        <f t="shared" si="4"/>
        <v>0</v>
      </c>
      <c r="M27" s="191">
        <f t="shared" si="5"/>
      </c>
      <c r="N27" s="191">
        <f t="shared" si="6"/>
      </c>
      <c r="O27" s="191">
        <f t="shared" si="7"/>
      </c>
      <c r="P27" s="192">
        <f t="shared" si="9"/>
      </c>
      <c r="Q27" s="191">
        <f t="shared" si="14"/>
      </c>
      <c r="R27" s="357">
        <f>IF(N27="",0,COUNTIF(ПодгОТ!$N$8:$N$23,N27))</f>
        <v>0</v>
      </c>
      <c r="S27" s="191">
        <f t="shared" si="11"/>
      </c>
      <c r="AA27" s="676"/>
      <c r="AB27" s="678"/>
      <c r="AC27" s="676"/>
      <c r="AD27" s="680"/>
      <c r="AE27" s="676"/>
      <c r="AF27" s="514"/>
    </row>
    <row r="28" spans="1:32" s="109" customFormat="1" ht="21" customHeight="1">
      <c r="A28" s="334">
        <f t="shared" si="12"/>
        <v>4</v>
      </c>
      <c r="B28" s="328"/>
      <c r="C28" s="329"/>
      <c r="D28" s="328"/>
      <c r="E28" s="330"/>
      <c r="F28" s="331"/>
      <c r="G28" s="331"/>
      <c r="H28" s="181"/>
      <c r="I28" s="191">
        <f t="shared" si="1"/>
        <v>0</v>
      </c>
      <c r="J28" s="191">
        <f t="shared" si="2"/>
        <v>0</v>
      </c>
      <c r="K28" s="191">
        <f t="shared" si="13"/>
      </c>
      <c r="L28" s="191">
        <f t="shared" si="4"/>
        <v>0</v>
      </c>
      <c r="M28" s="191">
        <f t="shared" si="5"/>
      </c>
      <c r="N28" s="191">
        <f t="shared" si="6"/>
      </c>
      <c r="O28" s="191">
        <f t="shared" si="7"/>
      </c>
      <c r="P28" s="192">
        <f t="shared" si="9"/>
      </c>
      <c r="Q28" s="191">
        <f t="shared" si="14"/>
      </c>
      <c r="R28" s="357">
        <f>IF(N28="",0,COUNTIF(ПодгОТ!$N$8:$N$23,N28))</f>
        <v>0</v>
      </c>
      <c r="S28" s="191">
        <f t="shared" si="11"/>
      </c>
      <c r="AA28" s="676"/>
      <c r="AB28" s="678"/>
      <c r="AC28" s="676" t="str">
        <f>IF(ОТ!G34=0,CONCATENATE("пр.",ОТ!D31,"/",ОТ!D33),IF(ОТ!G34=1,ОТ!D33,IF(ОТ!G34=2,ОТ!D31,"Х")))</f>
        <v>х</v>
      </c>
      <c r="AD28" s="680">
        <f>IF(ОТ!G34=0,"",IF(ОТ!G34=1,ОТ!E33,IF(ОТ!G34=2,ОТ!E31,"")))</f>
      </c>
      <c r="AE28" s="676"/>
      <c r="AF28" s="688"/>
    </row>
    <row r="29" spans="1:32" s="109" customFormat="1" ht="21" customHeight="1">
      <c r="A29" s="334">
        <f t="shared" si="12"/>
        <v>5</v>
      </c>
      <c r="B29" s="328"/>
      <c r="C29" s="329"/>
      <c r="D29" s="328"/>
      <c r="E29" s="330"/>
      <c r="F29" s="331"/>
      <c r="G29" s="331"/>
      <c r="H29" s="181"/>
      <c r="I29" s="191">
        <f t="shared" si="1"/>
        <v>0</v>
      </c>
      <c r="J29" s="191">
        <f t="shared" si="2"/>
        <v>0</v>
      </c>
      <c r="K29" s="191">
        <f t="shared" si="13"/>
      </c>
      <c r="L29" s="191">
        <f t="shared" si="4"/>
        <v>0</v>
      </c>
      <c r="M29" s="191">
        <f t="shared" si="5"/>
      </c>
      <c r="N29" s="191">
        <f t="shared" si="6"/>
      </c>
      <c r="O29" s="191">
        <f t="shared" si="7"/>
      </c>
      <c r="P29" s="192">
        <f t="shared" si="9"/>
      </c>
      <c r="Q29" s="191">
        <f t="shared" si="14"/>
      </c>
      <c r="R29" s="357">
        <f>IF(N29="",0,COUNTIF(ПодгОТ!$N$8:$N$23,N29))</f>
        <v>0</v>
      </c>
      <c r="S29" s="191">
        <f t="shared" si="11"/>
      </c>
      <c r="AA29" s="676"/>
      <c r="AB29" s="678"/>
      <c r="AC29" s="676"/>
      <c r="AD29" s="680"/>
      <c r="AE29" s="676"/>
      <c r="AF29" s="688"/>
    </row>
    <row r="30" spans="1:32" s="109" customFormat="1" ht="21" customHeight="1">
      <c r="A30" s="334">
        <f t="shared" si="12"/>
        <v>6</v>
      </c>
      <c r="B30" s="328"/>
      <c r="C30" s="329"/>
      <c r="D30" s="328"/>
      <c r="E30" s="330"/>
      <c r="F30" s="331"/>
      <c r="G30" s="331"/>
      <c r="H30" s="181"/>
      <c r="I30" s="191">
        <f t="shared" si="1"/>
        <v>0</v>
      </c>
      <c r="J30" s="191">
        <f t="shared" si="2"/>
        <v>0</v>
      </c>
      <c r="K30" s="191">
        <f t="shared" si="13"/>
      </c>
      <c r="L30" s="191">
        <f t="shared" si="4"/>
        <v>0</v>
      </c>
      <c r="M30" s="191">
        <f t="shared" si="5"/>
      </c>
      <c r="N30" s="191">
        <f t="shared" si="6"/>
      </c>
      <c r="O30" s="191">
        <f t="shared" si="7"/>
      </c>
      <c r="P30" s="192">
        <f t="shared" si="9"/>
      </c>
      <c r="Q30" s="191">
        <f t="shared" si="14"/>
      </c>
      <c r="R30" s="357">
        <f>IF(N30="",0,COUNTIF(ПодгОТ!$N$8:$N$23,N30))</f>
        <v>0</v>
      </c>
      <c r="S30" s="191">
        <f t="shared" si="11"/>
      </c>
      <c r="AA30" s="676"/>
      <c r="AB30" s="678"/>
      <c r="AC30" s="676"/>
      <c r="AD30" s="680"/>
      <c r="AE30" s="676"/>
      <c r="AF30" s="514"/>
    </row>
    <row r="31" spans="1:32" s="109" customFormat="1" ht="21" customHeight="1">
      <c r="A31" s="334">
        <f t="shared" si="12"/>
        <v>7</v>
      </c>
      <c r="B31" s="328"/>
      <c r="C31" s="329"/>
      <c r="D31" s="328"/>
      <c r="E31" s="330"/>
      <c r="F31" s="331"/>
      <c r="G31" s="331"/>
      <c r="H31" s="181"/>
      <c r="I31" s="191">
        <f t="shared" si="1"/>
        <v>0</v>
      </c>
      <c r="J31" s="191">
        <f t="shared" si="2"/>
        <v>0</v>
      </c>
      <c r="K31" s="191">
        <f t="shared" si="13"/>
      </c>
      <c r="L31" s="191">
        <f t="shared" si="4"/>
        <v>0</v>
      </c>
      <c r="M31" s="191">
        <f t="shared" si="5"/>
      </c>
      <c r="N31" s="191">
        <f t="shared" si="6"/>
      </c>
      <c r="O31" s="191">
        <f t="shared" si="7"/>
      </c>
      <c r="P31" s="192">
        <f t="shared" si="9"/>
      </c>
      <c r="Q31" s="191">
        <f t="shared" si="14"/>
      </c>
      <c r="R31" s="357">
        <f>IF(N31="",0,COUNTIF(ПодгОТ!$N$8:$N$23,N31))</f>
        <v>0</v>
      </c>
      <c r="S31" s="191">
        <f t="shared" si="11"/>
      </c>
      <c r="AA31" s="676"/>
      <c r="AB31" s="678"/>
      <c r="AC31" s="676"/>
      <c r="AD31" s="680"/>
      <c r="AE31" s="676"/>
      <c r="AF31" s="514"/>
    </row>
    <row r="32" spans="1:32" s="109" customFormat="1" ht="21" customHeight="1">
      <c r="A32" s="334">
        <f t="shared" si="12"/>
        <v>8</v>
      </c>
      <c r="B32" s="328"/>
      <c r="C32" s="329"/>
      <c r="D32" s="328"/>
      <c r="E32" s="330"/>
      <c r="F32" s="331"/>
      <c r="G32" s="331"/>
      <c r="H32" s="181"/>
      <c r="I32" s="191">
        <f t="shared" si="1"/>
        <v>0</v>
      </c>
      <c r="J32" s="191">
        <f t="shared" si="2"/>
        <v>0</v>
      </c>
      <c r="K32" s="191">
        <f t="shared" si="13"/>
      </c>
      <c r="L32" s="191">
        <f t="shared" si="4"/>
        <v>0</v>
      </c>
      <c r="M32" s="191">
        <f t="shared" si="5"/>
      </c>
      <c r="N32" s="191">
        <f t="shared" si="6"/>
      </c>
      <c r="O32" s="191">
        <f t="shared" si="7"/>
      </c>
      <c r="P32" s="192">
        <f t="shared" si="9"/>
      </c>
      <c r="Q32" s="191">
        <f t="shared" si="14"/>
      </c>
      <c r="R32" s="357">
        <f>IF(N32="",0,COUNTIF(ПодгОТ!$N$8:$N$23,N32))</f>
        <v>0</v>
      </c>
      <c r="S32" s="191">
        <f t="shared" si="11"/>
      </c>
      <c r="AA32" s="676"/>
      <c r="AB32" s="678"/>
      <c r="AC32" s="676" t="str">
        <f>IF(ОТ!G38=0,CONCATENATE("пр.",ОТ!D35,"/",ОТ!D37),IF(ОТ!G38=1,ОТ!D37,IF(ОТ!G38=2,ОТ!D35,"Х")))</f>
        <v>МАКАРОВА</v>
      </c>
      <c r="AD32" s="680" t="str">
        <f>IF(ОТ!G38=0,"",IF(ОТ!G38=1,ОТ!E37,IF(ОТ!G38=2,ОТ!E35,"")))</f>
        <v>А.А.</v>
      </c>
      <c r="AE32" s="676"/>
      <c r="AF32" s="688"/>
    </row>
    <row r="33" spans="1:32" ht="37.5" customHeight="1">
      <c r="A33" s="686" t="s">
        <v>124</v>
      </c>
      <c r="B33" s="686"/>
      <c r="C33" s="686"/>
      <c r="D33" s="686"/>
      <c r="E33" s="686"/>
      <c r="F33" s="686"/>
      <c r="G33" s="686"/>
      <c r="Q33" s="191"/>
      <c r="R33" s="357"/>
      <c r="S33" s="191"/>
      <c r="AA33" s="676"/>
      <c r="AB33" s="678"/>
      <c r="AC33" s="676"/>
      <c r="AD33" s="680"/>
      <c r="AE33" s="676"/>
      <c r="AF33" s="688"/>
    </row>
    <row r="34" spans="1:32" s="109" customFormat="1" ht="21" customHeight="1">
      <c r="A34" s="334">
        <f>ROW()-33</f>
        <v>1</v>
      </c>
      <c r="B34" s="328"/>
      <c r="C34" s="329"/>
      <c r="D34" s="328"/>
      <c r="E34" s="330"/>
      <c r="F34" s="331"/>
      <c r="G34" s="331"/>
      <c r="H34" s="181"/>
      <c r="I34" s="191">
        <f t="shared" si="1"/>
        <v>0</v>
      </c>
      <c r="J34" s="191">
        <f t="shared" si="2"/>
        <v>0</v>
      </c>
      <c r="K34" s="191">
        <f t="shared" si="13"/>
      </c>
      <c r="L34" s="191">
        <f t="shared" si="4"/>
        <v>0</v>
      </c>
      <c r="M34" s="191">
        <f t="shared" si="5"/>
      </c>
      <c r="N34" s="191">
        <f t="shared" si="6"/>
      </c>
      <c r="O34" s="191">
        <f t="shared" si="7"/>
      </c>
      <c r="P34" s="192">
        <f t="shared" si="9"/>
      </c>
      <c r="Q34" s="191">
        <f t="shared" si="14"/>
      </c>
      <c r="R34" s="357">
        <f>IF(N34="",0,COUNTIF(ПодгОТ!$N$8:$N$23,N34))</f>
        <v>0</v>
      </c>
      <c r="S34" s="191">
        <f>IF(R34&gt;1,CONCATENATE(N34,Q34),N34)</f>
      </c>
      <c r="AA34" s="676"/>
      <c r="AB34" s="678"/>
      <c r="AC34" s="676"/>
      <c r="AD34" s="680"/>
      <c r="AE34" s="676"/>
      <c r="AF34" s="514"/>
    </row>
    <row r="35" spans="1:32" s="109" customFormat="1" ht="21" customHeight="1">
      <c r="A35" s="334">
        <f>ROW()-33</f>
        <v>2</v>
      </c>
      <c r="B35" s="328"/>
      <c r="C35" s="329"/>
      <c r="D35" s="328"/>
      <c r="E35" s="330"/>
      <c r="F35" s="331"/>
      <c r="G35" s="331"/>
      <c r="H35" s="181"/>
      <c r="I35" s="191">
        <f t="shared" si="1"/>
        <v>0</v>
      </c>
      <c r="J35" s="191">
        <f t="shared" si="2"/>
        <v>0</v>
      </c>
      <c r="K35" s="191">
        <f t="shared" si="13"/>
      </c>
      <c r="L35" s="191">
        <f t="shared" si="4"/>
        <v>0</v>
      </c>
      <c r="M35" s="191">
        <f t="shared" si="5"/>
      </c>
      <c r="N35" s="191">
        <f t="shared" si="6"/>
      </c>
      <c r="O35" s="191">
        <f t="shared" si="7"/>
      </c>
      <c r="P35" s="192">
        <f t="shared" si="9"/>
      </c>
      <c r="Q35" s="191">
        <f t="shared" si="14"/>
      </c>
      <c r="R35" s="357">
        <f>IF(N35="",0,COUNTIF(ПодгОТ!$N$8:$N$23,N35))</f>
        <v>0</v>
      </c>
      <c r="S35" s="191">
        <f>IF(R35&gt;1,CONCATENATE(N35,Q35),N35)</f>
      </c>
      <c r="AA35" s="676"/>
      <c r="AB35" s="678"/>
      <c r="AC35" s="676"/>
      <c r="AD35" s="680"/>
      <c r="AE35" s="676"/>
      <c r="AF35" s="514"/>
    </row>
    <row r="36" spans="1:32" s="109" customFormat="1" ht="21" customHeight="1">
      <c r="A36" s="334">
        <f>ROW()-33</f>
        <v>3</v>
      </c>
      <c r="B36" s="328"/>
      <c r="C36" s="329"/>
      <c r="D36" s="328"/>
      <c r="E36" s="330"/>
      <c r="F36" s="331"/>
      <c r="G36" s="331"/>
      <c r="H36" s="181"/>
      <c r="I36" s="191">
        <f t="shared" si="1"/>
        <v>0</v>
      </c>
      <c r="J36" s="191">
        <f t="shared" si="2"/>
        <v>0</v>
      </c>
      <c r="K36" s="191">
        <f t="shared" si="13"/>
      </c>
      <c r="L36" s="191">
        <f t="shared" si="4"/>
        <v>0</v>
      </c>
      <c r="M36" s="191">
        <f t="shared" si="5"/>
      </c>
      <c r="N36" s="191">
        <f t="shared" si="6"/>
      </c>
      <c r="O36" s="191">
        <f t="shared" si="7"/>
      </c>
      <c r="P36" s="192">
        <f t="shared" si="9"/>
      </c>
      <c r="Q36" s="191">
        <f t="shared" si="14"/>
      </c>
      <c r="R36" s="357">
        <f>IF(N36="",0,COUNTIF(ПодгОТ!$N$8:$N$23,N36))</f>
        <v>0</v>
      </c>
      <c r="S36" s="191">
        <f>IF(R36&gt;1,CONCATENATE(N36,Q36),N36)</f>
      </c>
      <c r="AA36" s="676"/>
      <c r="AB36" s="678"/>
      <c r="AC36" s="676" t="str">
        <f>IF(ОТ!G42=0,CONCATENATE("пр.",ОТ!D39,"/",ОТ!D41),IF(ОТ!G42=1,ОТ!D41,IF(ОТ!G42=2,ОТ!D39,"Х")))</f>
        <v>х</v>
      </c>
      <c r="AD36" s="680">
        <f>IF(ОТ!G42=0,"",IF(ОТ!G42=1,ОТ!E41,IF(ОТ!G42=2,ОТ!E39,"")))</f>
      </c>
      <c r="AE36" s="676"/>
      <c r="AF36" s="688"/>
    </row>
    <row r="37" spans="1:32" s="109" customFormat="1" ht="21" customHeight="1">
      <c r="A37" s="334">
        <f>ROW()-33</f>
        <v>4</v>
      </c>
      <c r="B37" s="328"/>
      <c r="C37" s="329"/>
      <c r="D37" s="328"/>
      <c r="E37" s="330"/>
      <c r="F37" s="331"/>
      <c r="G37" s="331"/>
      <c r="H37" s="181"/>
      <c r="I37" s="191">
        <f t="shared" si="1"/>
        <v>0</v>
      </c>
      <c r="J37" s="191">
        <f t="shared" si="2"/>
        <v>0</v>
      </c>
      <c r="K37" s="191">
        <f t="shared" si="13"/>
      </c>
      <c r="L37" s="191">
        <f t="shared" si="4"/>
        <v>0</v>
      </c>
      <c r="M37" s="191">
        <f t="shared" si="5"/>
      </c>
      <c r="N37" s="191">
        <f t="shared" si="6"/>
      </c>
      <c r="O37" s="191">
        <f t="shared" si="7"/>
      </c>
      <c r="P37" s="192">
        <f t="shared" si="9"/>
      </c>
      <c r="Q37" s="191">
        <f t="shared" si="14"/>
      </c>
      <c r="R37" s="357">
        <f>IF(N37="",0,COUNTIF(ПодгОТ!$N$8:$N$23,N37))</f>
        <v>0</v>
      </c>
      <c r="S37" s="191">
        <f>IF(R37&gt;1,CONCATENATE(N37,Q37),N37)</f>
      </c>
      <c r="AA37" s="676"/>
      <c r="AB37" s="678"/>
      <c r="AC37" s="676"/>
      <c r="AD37" s="680"/>
      <c r="AE37" s="676"/>
      <c r="AF37" s="688"/>
    </row>
    <row r="38" spans="3:32" s="335" customFormat="1" ht="12.75">
      <c r="C38" s="336"/>
      <c r="F38" s="336"/>
      <c r="G38" s="336"/>
      <c r="H38" s="337"/>
      <c r="I38" s="193"/>
      <c r="J38" s="193"/>
      <c r="K38" s="193"/>
      <c r="L38" s="193"/>
      <c r="M38" s="193"/>
      <c r="N38" s="193"/>
      <c r="O38" s="193"/>
      <c r="P38" s="194"/>
      <c r="Q38" s="191">
        <f>IF(C38="","",IF(ISERR(J38),UPPER(C38),UPPER(MID(C38,J38,L38-J38))))</f>
      </c>
      <c r="R38" s="357"/>
      <c r="S38" s="191"/>
      <c r="AA38" s="676"/>
      <c r="AB38" s="678"/>
      <c r="AC38" s="676"/>
      <c r="AD38" s="680"/>
      <c r="AE38" s="676"/>
      <c r="AF38" s="518"/>
    </row>
    <row r="39" spans="1:32" s="110" customFormat="1" ht="27.75" customHeight="1">
      <c r="A39" s="689" t="s">
        <v>53</v>
      </c>
      <c r="B39" s="689"/>
      <c r="C39" s="395"/>
      <c r="D39" s="689" t="s">
        <v>147</v>
      </c>
      <c r="E39" s="689"/>
      <c r="F39" s="396" t="str">
        <f>UPPER(Установка!C11)</f>
        <v>ГОРШЕНИН Э.А.</v>
      </c>
      <c r="G39" s="396"/>
      <c r="H39" s="182"/>
      <c r="I39" s="193"/>
      <c r="J39" s="193"/>
      <c r="K39" s="193"/>
      <c r="L39" s="193"/>
      <c r="M39" s="193"/>
      <c r="N39" s="193"/>
      <c r="O39" s="193"/>
      <c r="P39" s="194"/>
      <c r="Q39" s="191">
        <f>IF(C39="","",IF(ISERR(J39),UPPER(C39),UPPER(MID(C39,J39,L39-J39))))</f>
      </c>
      <c r="R39" s="357"/>
      <c r="S39" s="191"/>
      <c r="AA39" s="677"/>
      <c r="AB39" s="679"/>
      <c r="AC39" s="677"/>
      <c r="AD39" s="681"/>
      <c r="AE39" s="677"/>
      <c r="AF39" s="519"/>
    </row>
    <row r="40" spans="3:32" s="397" customFormat="1" ht="11.25" customHeight="1">
      <c r="C40" s="398" t="s">
        <v>51</v>
      </c>
      <c r="D40" s="399"/>
      <c r="E40" s="399"/>
      <c r="F40" s="400"/>
      <c r="G40" s="400" t="s">
        <v>145</v>
      </c>
      <c r="H40" s="401"/>
      <c r="I40" s="402"/>
      <c r="J40" s="402"/>
      <c r="K40" s="402"/>
      <c r="L40" s="402"/>
      <c r="M40" s="402"/>
      <c r="N40" s="402"/>
      <c r="O40" s="402"/>
      <c r="P40" s="403"/>
      <c r="Q40" s="402"/>
      <c r="R40" s="402"/>
      <c r="S40" s="402"/>
      <c r="AA40" s="515"/>
      <c r="AB40" s="515"/>
      <c r="AC40" s="515"/>
      <c r="AD40" s="515"/>
      <c r="AE40" s="515"/>
      <c r="AF40" s="515"/>
    </row>
    <row r="41" spans="1:32" s="110" customFormat="1" ht="12.75" hidden="1">
      <c r="A41" s="112"/>
      <c r="B41" s="193">
        <f>16-COUNTIF(C8:C23,"")</f>
        <v>0</v>
      </c>
      <c r="C41" s="339"/>
      <c r="D41" s="113"/>
      <c r="E41" s="113"/>
      <c r="F41" s="111"/>
      <c r="G41" s="111"/>
      <c r="H41" s="182"/>
      <c r="I41" s="193"/>
      <c r="J41" s="193"/>
      <c r="K41" s="193"/>
      <c r="L41" s="193"/>
      <c r="M41" s="193"/>
      <c r="N41" s="193"/>
      <c r="O41" s="193"/>
      <c r="P41" s="194"/>
      <c r="Q41" s="193"/>
      <c r="R41" s="193"/>
      <c r="S41" s="193"/>
      <c r="AA41" s="516"/>
      <c r="AB41" s="516"/>
      <c r="AC41" s="516"/>
      <c r="AD41" s="516"/>
      <c r="AE41" s="516"/>
      <c r="AF41" s="516"/>
    </row>
    <row r="42" spans="1:32" s="110" customFormat="1" ht="12.75" hidden="1">
      <c r="A42" s="112"/>
      <c r="B42" s="193">
        <f>8-COUNTIF(C25:C32,"")</f>
        <v>0</v>
      </c>
      <c r="C42" s="339"/>
      <c r="D42" s="113"/>
      <c r="E42" s="113"/>
      <c r="F42" s="111"/>
      <c r="G42" s="111"/>
      <c r="H42" s="182"/>
      <c r="I42" s="193"/>
      <c r="J42" s="193"/>
      <c r="K42" s="193"/>
      <c r="L42" s="193"/>
      <c r="M42" s="193"/>
      <c r="N42" s="193"/>
      <c r="O42" s="193"/>
      <c r="P42" s="194"/>
      <c r="Q42" s="193"/>
      <c r="R42" s="193"/>
      <c r="S42" s="193"/>
      <c r="AA42" s="516"/>
      <c r="AB42" s="516"/>
      <c r="AC42" s="516"/>
      <c r="AD42" s="516"/>
      <c r="AE42" s="516"/>
      <c r="AF42" s="516"/>
    </row>
    <row r="43" spans="1:32" s="110" customFormat="1" ht="12.75" hidden="1">
      <c r="A43" s="112"/>
      <c r="B43" s="193">
        <f>4-COUNTIF(C34:C37,"")</f>
        <v>0</v>
      </c>
      <c r="C43" s="340"/>
      <c r="D43" s="113"/>
      <c r="E43" s="113"/>
      <c r="F43" s="111"/>
      <c r="G43" s="111"/>
      <c r="H43" s="182"/>
      <c r="I43" s="193"/>
      <c r="J43" s="193"/>
      <c r="K43" s="193"/>
      <c r="L43" s="193"/>
      <c r="M43" s="193"/>
      <c r="N43" s="193"/>
      <c r="O43" s="193"/>
      <c r="P43" s="194"/>
      <c r="Q43" s="193"/>
      <c r="R43" s="193"/>
      <c r="S43" s="193"/>
      <c r="AA43" s="516"/>
      <c r="AB43" s="516"/>
      <c r="AC43" s="516"/>
      <c r="AD43" s="516"/>
      <c r="AE43" s="516"/>
      <c r="AF43" s="516"/>
    </row>
    <row r="44" spans="1:19" ht="12.75" hidden="1">
      <c r="A44" s="36"/>
      <c r="D44" s="33"/>
      <c r="E44" s="33"/>
      <c r="Q44" s="193"/>
      <c r="R44" s="193"/>
      <c r="S44" s="193"/>
    </row>
    <row r="45" spans="1:19" ht="12.75" hidden="1">
      <c r="A45" s="36"/>
      <c r="D45" s="33"/>
      <c r="E45" s="33"/>
      <c r="Q45" s="193"/>
      <c r="R45" s="193"/>
      <c r="S45" s="193"/>
    </row>
    <row r="46" spans="1:5" ht="12.75" hidden="1">
      <c r="A46" s="36"/>
      <c r="D46" s="33"/>
      <c r="E46" s="33"/>
    </row>
    <row r="47" spans="1:5" ht="12.75" hidden="1">
      <c r="A47" s="36"/>
      <c r="D47" s="33"/>
      <c r="E47" s="33"/>
    </row>
    <row r="48" spans="1:5" ht="12.75" hidden="1">
      <c r="A48" s="36"/>
      <c r="D48" s="33"/>
      <c r="E48" s="33"/>
    </row>
    <row r="49" spans="1:5" ht="12.75" hidden="1">
      <c r="A49" s="36"/>
      <c r="D49" s="33"/>
      <c r="E49" s="33"/>
    </row>
    <row r="50" spans="1:19" ht="12.75" hidden="1">
      <c r="A50" s="311"/>
      <c r="B50" s="341" t="s">
        <v>21</v>
      </c>
      <c r="C50" s="188"/>
      <c r="D50" s="188">
        <f>IF(E50,0,1)</f>
        <v>0</v>
      </c>
      <c r="E50" s="494" t="b">
        <v>1</v>
      </c>
      <c r="F50" s="312">
        <f>IF(E50,""," 1/16")</f>
      </c>
      <c r="G50" s="346"/>
      <c r="H50" s="342">
        <f>IF(OR(F50="",$D$53=D50,D51+D52=0),"",",")</f>
      </c>
      <c r="Q50" s="195"/>
      <c r="R50" s="195"/>
      <c r="S50" s="195"/>
    </row>
    <row r="51" spans="1:8" ht="12.75" hidden="1">
      <c r="A51" s="311"/>
      <c r="B51" s="341" t="s">
        <v>22</v>
      </c>
      <c r="C51" s="188"/>
      <c r="D51" s="188">
        <f>IF(E51,0,1)</f>
        <v>1</v>
      </c>
      <c r="E51" s="345" t="b">
        <v>0</v>
      </c>
      <c r="F51" s="312" t="str">
        <f>IF(OR(E51),""," 1/8")</f>
        <v> 1/8</v>
      </c>
      <c r="G51" s="346">
        <v>0</v>
      </c>
      <c r="H51" s="342" t="str">
        <f>IF(OR(F51="",$D$53=D51,D52=0),"",",")</f>
        <v>,</v>
      </c>
    </row>
    <row r="52" spans="1:8" ht="12.75" hidden="1">
      <c r="A52" s="311"/>
      <c r="B52" s="341" t="s">
        <v>23</v>
      </c>
      <c r="C52" s="188"/>
      <c r="D52" s="188">
        <f>IF(E52,0,1)</f>
        <v>1</v>
      </c>
      <c r="E52" s="345" t="b">
        <v>0</v>
      </c>
      <c r="F52" s="312" t="str">
        <f>IF(E52,""," 1/4")</f>
        <v> 1/4</v>
      </c>
      <c r="G52" s="346">
        <v>0</v>
      </c>
      <c r="H52" s="342"/>
    </row>
    <row r="53" spans="1:8" ht="12.75" hidden="1">
      <c r="A53" s="311"/>
      <c r="B53" s="188"/>
      <c r="C53" s="188"/>
      <c r="D53" s="343">
        <f>SUM(D50:D52)</f>
        <v>2</v>
      </c>
      <c r="E53" s="343"/>
      <c r="F53" s="312"/>
      <c r="G53" s="312"/>
      <c r="H53" s="342"/>
    </row>
    <row r="54" spans="1:8" ht="12.75" hidden="1">
      <c r="A54" s="311"/>
      <c r="B54" s="188"/>
      <c r="C54" s="188" t="str">
        <f>CONCATENATE(F50,H50,F51,H51,F52,D54)</f>
        <v> 1/8, 1/4 финала</v>
      </c>
      <c r="D54" s="343" t="s">
        <v>150</v>
      </c>
      <c r="E54" s="343"/>
      <c r="F54" s="312"/>
      <c r="G54" s="312"/>
      <c r="H54" s="342"/>
    </row>
    <row r="55" spans="1:8" ht="12.75" hidden="1">
      <c r="A55" s="311"/>
      <c r="B55" s="188"/>
      <c r="C55" s="188"/>
      <c r="D55" s="343"/>
      <c r="E55" s="343"/>
      <c r="F55" s="312"/>
      <c r="G55" s="312"/>
      <c r="H55" s="342"/>
    </row>
    <row r="56" spans="1:8" ht="12.75" hidden="1">
      <c r="A56" s="311"/>
      <c r="B56" s="188"/>
      <c r="C56" s="341" t="s">
        <v>131</v>
      </c>
      <c r="D56" s="343">
        <v>684</v>
      </c>
      <c r="E56" s="343"/>
      <c r="F56" s="312"/>
      <c r="G56" s="312"/>
      <c r="H56" s="342"/>
    </row>
    <row r="57" spans="1:8" ht="12.75" hidden="1">
      <c r="A57" s="311"/>
      <c r="B57" s="188"/>
      <c r="C57" s="341" t="s">
        <v>132</v>
      </c>
      <c r="D57" s="343">
        <f>32*D50+30*D51+14*D52</f>
        <v>44</v>
      </c>
      <c r="E57" s="343"/>
      <c r="F57" s="312"/>
      <c r="G57" s="312"/>
      <c r="H57" s="342"/>
    </row>
    <row r="58" spans="1:8" ht="12.75" hidden="1">
      <c r="A58" s="311"/>
      <c r="B58" s="188"/>
      <c r="C58" s="341" t="s">
        <v>133</v>
      </c>
      <c r="D58" s="344">
        <f>IF(D57=0,0,D56/D57)</f>
        <v>15.545454545454545</v>
      </c>
      <c r="E58" s="343"/>
      <c r="F58" s="312"/>
      <c r="G58" s="312"/>
      <c r="H58" s="342"/>
    </row>
    <row r="59" spans="1:5" ht="12.75">
      <c r="A59" s="36"/>
      <c r="D59" s="33"/>
      <c r="E59" s="33"/>
    </row>
    <row r="60" spans="1:5" ht="12.75">
      <c r="A60" s="36"/>
      <c r="D60" s="33"/>
      <c r="E60" s="33"/>
    </row>
    <row r="61" spans="1:5" ht="12.75">
      <c r="A61" s="36"/>
      <c r="D61" s="33"/>
      <c r="E61" s="33"/>
    </row>
    <row r="62" spans="1:5" ht="12.75">
      <c r="A62" s="36"/>
      <c r="D62" s="33"/>
      <c r="E62" s="33"/>
    </row>
    <row r="63" spans="1:5" ht="12.75">
      <c r="A63" s="36"/>
      <c r="D63" s="33"/>
      <c r="E63" s="33"/>
    </row>
    <row r="64" spans="1:5" ht="12.75">
      <c r="A64" s="36"/>
      <c r="D64" s="33"/>
      <c r="E64" s="33"/>
    </row>
    <row r="65" spans="1:5" ht="12.75">
      <c r="A65" s="36"/>
      <c r="D65" s="33"/>
      <c r="E65" s="33"/>
    </row>
    <row r="66" spans="1:5" ht="12.75">
      <c r="A66" s="36"/>
      <c r="D66" s="33"/>
      <c r="E66" s="33"/>
    </row>
    <row r="67" spans="1:5" ht="12.75">
      <c r="A67" s="36"/>
      <c r="D67" s="33"/>
      <c r="E67" s="33"/>
    </row>
    <row r="68" spans="1:5" ht="12.75">
      <c r="A68" s="36"/>
      <c r="D68" s="33"/>
      <c r="E68" s="33"/>
    </row>
    <row r="69" spans="1:5" ht="12.75">
      <c r="A69" s="36"/>
      <c r="D69" s="33"/>
      <c r="E69" s="33"/>
    </row>
    <row r="70" spans="1:5" ht="12.75">
      <c r="A70" s="36"/>
      <c r="D70" s="33"/>
      <c r="E70" s="33"/>
    </row>
    <row r="71" spans="1:5" ht="12.75">
      <c r="A71" s="36"/>
      <c r="D71" s="33"/>
      <c r="E71" s="33"/>
    </row>
    <row r="72" spans="1:5" ht="12.75">
      <c r="A72" s="36"/>
      <c r="D72" s="33"/>
      <c r="E72" s="33"/>
    </row>
    <row r="73" spans="1:5" ht="12.75">
      <c r="A73" s="36"/>
      <c r="D73" s="33"/>
      <c r="E73" s="33"/>
    </row>
    <row r="74" spans="1:5" ht="12.75">
      <c r="A74" s="36"/>
      <c r="D74" s="33"/>
      <c r="E74" s="33"/>
    </row>
    <row r="75" spans="1:5" ht="12.75">
      <c r="A75" s="36"/>
      <c r="D75" s="33"/>
      <c r="E75" s="33"/>
    </row>
    <row r="76" spans="1:5" ht="12.75">
      <c r="A76" s="36"/>
      <c r="D76" s="33"/>
      <c r="E76" s="33"/>
    </row>
    <row r="77" spans="1:5" ht="12.75">
      <c r="A77" s="36"/>
      <c r="D77" s="33"/>
      <c r="E77" s="33"/>
    </row>
    <row r="78" spans="1:5" ht="12.75">
      <c r="A78" s="36"/>
      <c r="D78" s="33"/>
      <c r="E78" s="33"/>
    </row>
    <row r="79" spans="1:5" ht="12.75">
      <c r="A79" s="36"/>
      <c r="D79" s="33"/>
      <c r="E79" s="33"/>
    </row>
    <row r="80" spans="1:5" ht="12.75">
      <c r="A80" s="36"/>
      <c r="D80" s="33"/>
      <c r="E80" s="33"/>
    </row>
    <row r="81" spans="1:5" ht="12.75">
      <c r="A81" s="36"/>
      <c r="D81" s="33"/>
      <c r="E81" s="33"/>
    </row>
    <row r="82" spans="1:5" ht="12.75">
      <c r="A82" s="36"/>
      <c r="D82" s="33"/>
      <c r="E82" s="33"/>
    </row>
    <row r="83" spans="1:5" ht="12.75">
      <c r="A83" s="36"/>
      <c r="D83" s="33"/>
      <c r="E83" s="33"/>
    </row>
    <row r="84" spans="1:5" ht="12.75">
      <c r="A84" s="36"/>
      <c r="D84" s="33"/>
      <c r="E84" s="33"/>
    </row>
    <row r="85" spans="1:5" ht="12.75">
      <c r="A85" s="36"/>
      <c r="D85" s="33"/>
      <c r="E85" s="33"/>
    </row>
    <row r="86" spans="1:5" ht="12.75">
      <c r="A86" s="36"/>
      <c r="D86" s="33"/>
      <c r="E86" s="33"/>
    </row>
    <row r="87" spans="1:5" ht="12.75">
      <c r="A87" s="36"/>
      <c r="D87" s="33"/>
      <c r="E87" s="33"/>
    </row>
    <row r="88" spans="1:5" ht="12.75">
      <c r="A88" s="36"/>
      <c r="D88" s="33"/>
      <c r="E88" s="33"/>
    </row>
    <row r="89" spans="1:5" ht="12.75">
      <c r="A89" s="36"/>
      <c r="D89" s="33"/>
      <c r="E89" s="33"/>
    </row>
    <row r="90" spans="1:5" ht="12.75">
      <c r="A90" s="36"/>
      <c r="D90" s="33"/>
      <c r="E90" s="33"/>
    </row>
    <row r="91" spans="1:5" ht="12.75">
      <c r="A91" s="36"/>
      <c r="D91" s="33"/>
      <c r="E91" s="33"/>
    </row>
    <row r="92" spans="1:5" ht="12.75">
      <c r="A92" s="36"/>
      <c r="D92" s="33"/>
      <c r="E92" s="33"/>
    </row>
    <row r="93" spans="1:5" ht="12.75">
      <c r="A93" s="36"/>
      <c r="D93" s="33"/>
      <c r="E93" s="33"/>
    </row>
    <row r="94" spans="1:5" ht="12.75">
      <c r="A94" s="36"/>
      <c r="D94" s="33"/>
      <c r="E94" s="33"/>
    </row>
    <row r="95" spans="1:5" ht="12.75">
      <c r="A95" s="36"/>
      <c r="D95" s="33"/>
      <c r="E95" s="33"/>
    </row>
    <row r="96" spans="1:5" ht="12.75">
      <c r="A96" s="36"/>
      <c r="D96" s="33"/>
      <c r="E96" s="33"/>
    </row>
    <row r="97" spans="1:5" ht="12.75">
      <c r="A97" s="36"/>
      <c r="D97" s="33"/>
      <c r="E97" s="33"/>
    </row>
    <row r="98" spans="1:5" ht="12.75">
      <c r="A98" s="36"/>
      <c r="D98" s="33"/>
      <c r="E98" s="33"/>
    </row>
    <row r="99" spans="1:5" ht="12.75">
      <c r="A99" s="36"/>
      <c r="D99" s="33"/>
      <c r="E99" s="33"/>
    </row>
    <row r="100" spans="1:5" ht="12.75">
      <c r="A100" s="36"/>
      <c r="D100" s="33"/>
      <c r="E100" s="33"/>
    </row>
    <row r="101" spans="1:5" ht="12.75">
      <c r="A101" s="36"/>
      <c r="D101" s="33"/>
      <c r="E101" s="33"/>
    </row>
    <row r="102" spans="1:5" ht="12.75">
      <c r="A102" s="36"/>
      <c r="D102" s="33"/>
      <c r="E102" s="33"/>
    </row>
    <row r="103" spans="1:5" ht="12.75">
      <c r="A103" s="36"/>
      <c r="D103" s="33"/>
      <c r="E103" s="33"/>
    </row>
    <row r="104" spans="1:5" ht="12.75">
      <c r="A104" s="36"/>
      <c r="D104" s="33"/>
      <c r="E104" s="33"/>
    </row>
    <row r="105" spans="1:5" ht="12.75">
      <c r="A105" s="36"/>
      <c r="D105" s="33"/>
      <c r="E105" s="33"/>
    </row>
    <row r="106" spans="1:5" ht="12.75">
      <c r="A106" s="36"/>
      <c r="D106" s="33"/>
      <c r="E106" s="33"/>
    </row>
    <row r="107" spans="1:5" ht="12.75">
      <c r="A107" s="36"/>
      <c r="D107" s="33"/>
      <c r="E107" s="33"/>
    </row>
    <row r="108" spans="1:5" ht="12.75">
      <c r="A108" s="36"/>
      <c r="D108" s="33"/>
      <c r="E108" s="33"/>
    </row>
    <row r="109" spans="1:5" ht="12.75">
      <c r="A109" s="36"/>
      <c r="D109" s="33"/>
      <c r="E109" s="33"/>
    </row>
    <row r="110" spans="1:5" ht="12.75">
      <c r="A110" s="36"/>
      <c r="D110" s="33"/>
      <c r="E110" s="33"/>
    </row>
    <row r="111" spans="1:5" ht="12.75">
      <c r="A111" s="36"/>
      <c r="D111" s="33"/>
      <c r="E111" s="33"/>
    </row>
    <row r="112" spans="1:5" ht="12.75">
      <c r="A112" s="36"/>
      <c r="D112" s="33"/>
      <c r="E112" s="33"/>
    </row>
    <row r="113" spans="1:5" ht="12.75">
      <c r="A113" s="36"/>
      <c r="D113" s="33"/>
      <c r="E113" s="33"/>
    </row>
    <row r="114" spans="1:5" ht="12.75">
      <c r="A114" s="36"/>
      <c r="D114" s="33"/>
      <c r="E114" s="33"/>
    </row>
    <row r="115" spans="1:5" ht="12.75">
      <c r="A115" s="36"/>
      <c r="D115" s="33"/>
      <c r="E115" s="33"/>
    </row>
    <row r="116" spans="1:5" ht="12.75">
      <c r="A116" s="36"/>
      <c r="D116" s="33"/>
      <c r="E116" s="33"/>
    </row>
    <row r="117" spans="1:5" ht="12.75">
      <c r="A117" s="36"/>
      <c r="D117" s="33"/>
      <c r="E117" s="33"/>
    </row>
    <row r="118" spans="1:5" ht="12.75">
      <c r="A118" s="36"/>
      <c r="D118" s="33"/>
      <c r="E118" s="33"/>
    </row>
    <row r="119" spans="1:5" ht="12.75">
      <c r="A119" s="36"/>
      <c r="D119" s="33"/>
      <c r="E119" s="33"/>
    </row>
    <row r="120" spans="1:5" ht="12.75">
      <c r="A120" s="36"/>
      <c r="D120" s="33"/>
      <c r="E120" s="33"/>
    </row>
    <row r="121" spans="1:5" ht="12.75">
      <c r="A121" s="36"/>
      <c r="D121" s="33"/>
      <c r="E121" s="33"/>
    </row>
    <row r="122" spans="1:5" ht="12.75">
      <c r="A122" s="36"/>
      <c r="D122" s="33"/>
      <c r="E122" s="33"/>
    </row>
    <row r="123" spans="1:5" ht="12.75">
      <c r="A123" s="36"/>
      <c r="D123" s="33"/>
      <c r="E123" s="33"/>
    </row>
    <row r="124" spans="1:5" ht="12.75">
      <c r="A124" s="36"/>
      <c r="D124" s="33"/>
      <c r="E124" s="33"/>
    </row>
    <row r="125" spans="1:5" ht="12.75">
      <c r="A125" s="36"/>
      <c r="D125" s="33"/>
      <c r="E125" s="33"/>
    </row>
    <row r="126" spans="1:5" ht="12.75">
      <c r="A126" s="36"/>
      <c r="D126" s="33"/>
      <c r="E126" s="33"/>
    </row>
    <row r="127" spans="1:5" ht="12.75">
      <c r="A127" s="33"/>
      <c r="D127" s="33"/>
      <c r="E127" s="33"/>
    </row>
    <row r="128" spans="1:5" ht="12.75">
      <c r="A128" s="33"/>
      <c r="D128" s="33"/>
      <c r="E128" s="33"/>
    </row>
    <row r="129" spans="1:5" ht="12.75">
      <c r="A129" s="33"/>
      <c r="D129" s="33"/>
      <c r="E129" s="33"/>
    </row>
    <row r="130" spans="1:5" ht="12.75">
      <c r="A130" s="33"/>
      <c r="D130" s="33"/>
      <c r="E130" s="33"/>
    </row>
    <row r="131" spans="1:5" ht="12.75">
      <c r="A131" s="33"/>
      <c r="D131" s="33"/>
      <c r="E131" s="33"/>
    </row>
    <row r="132" spans="1:5" ht="12.75">
      <c r="A132" s="33"/>
      <c r="D132" s="33"/>
      <c r="E132" s="33"/>
    </row>
    <row r="133" spans="1:5" ht="12.75">
      <c r="A133" s="33"/>
      <c r="D133" s="33"/>
      <c r="E133" s="33"/>
    </row>
    <row r="134" spans="1:5" ht="12.75">
      <c r="A134" s="33"/>
      <c r="D134" s="33"/>
      <c r="E134" s="33"/>
    </row>
    <row r="135" spans="1:5" ht="12.75">
      <c r="A135" s="33"/>
      <c r="D135" s="33"/>
      <c r="E135" s="33"/>
    </row>
    <row r="136" spans="1:5" ht="12.75">
      <c r="A136" s="33"/>
      <c r="D136" s="33"/>
      <c r="E136" s="33"/>
    </row>
    <row r="137" spans="1:5" ht="12.75">
      <c r="A137" s="33"/>
      <c r="D137" s="33"/>
      <c r="E137" s="33"/>
    </row>
    <row r="138" spans="1:5" ht="12.75">
      <c r="A138" s="33"/>
      <c r="D138" s="33"/>
      <c r="E138" s="33"/>
    </row>
    <row r="139" spans="1:5" ht="12.75">
      <c r="A139" s="33"/>
      <c r="D139" s="33"/>
      <c r="E139" s="33"/>
    </row>
    <row r="140" spans="1:5" ht="12.75">
      <c r="A140" s="33"/>
      <c r="D140" s="33"/>
      <c r="E140" s="33"/>
    </row>
    <row r="141" spans="1:5" ht="12.75">
      <c r="A141" s="33"/>
      <c r="D141" s="33"/>
      <c r="E141" s="33"/>
    </row>
    <row r="142" spans="1:5" ht="12.75">
      <c r="A142" s="33"/>
      <c r="D142" s="33"/>
      <c r="E142" s="33"/>
    </row>
    <row r="143" spans="1:5" ht="12.75">
      <c r="A143" s="33"/>
      <c r="D143" s="33"/>
      <c r="E143" s="33"/>
    </row>
    <row r="144" spans="1:5" ht="12.75">
      <c r="A144" s="33"/>
      <c r="D144" s="33"/>
      <c r="E144" s="33"/>
    </row>
    <row r="145" spans="1:5" ht="12.75">
      <c r="A145" s="33"/>
      <c r="D145" s="33"/>
      <c r="E145" s="33"/>
    </row>
    <row r="146" spans="1:5" ht="12.75">
      <c r="A146" s="33"/>
      <c r="D146" s="33"/>
      <c r="E146" s="33"/>
    </row>
    <row r="147" spans="1:5" ht="12.75">
      <c r="A147" s="33"/>
      <c r="D147" s="33"/>
      <c r="E147" s="33"/>
    </row>
    <row r="148" spans="1:5" ht="12.75">
      <c r="A148" s="33"/>
      <c r="D148" s="33"/>
      <c r="E148" s="33"/>
    </row>
    <row r="149" spans="1:5" ht="12.75">
      <c r="A149" s="33"/>
      <c r="D149" s="33"/>
      <c r="E149" s="33"/>
    </row>
    <row r="150" spans="1:5" ht="12.75">
      <c r="A150" s="33"/>
      <c r="D150" s="33"/>
      <c r="E150" s="33"/>
    </row>
    <row r="151" spans="1:5" ht="12.75">
      <c r="A151" s="33"/>
      <c r="D151" s="33"/>
      <c r="E151" s="33"/>
    </row>
    <row r="152" spans="1:5" ht="12.75">
      <c r="A152" s="33"/>
      <c r="D152" s="33"/>
      <c r="E152" s="33"/>
    </row>
    <row r="153" spans="1:5" ht="12.75">
      <c r="A153" s="33"/>
      <c r="D153" s="33"/>
      <c r="E153" s="33"/>
    </row>
    <row r="154" spans="1:5" ht="12.75">
      <c r="A154" s="33"/>
      <c r="D154" s="33"/>
      <c r="E154" s="33"/>
    </row>
    <row r="155" spans="1:5" ht="12.75">
      <c r="A155" s="33"/>
      <c r="D155" s="33"/>
      <c r="E155" s="33"/>
    </row>
    <row r="156" spans="1:5" ht="12.75">
      <c r="A156" s="33"/>
      <c r="D156" s="33"/>
      <c r="E156" s="33"/>
    </row>
    <row r="157" spans="1:5" ht="12.75">
      <c r="A157" s="33"/>
      <c r="D157" s="33"/>
      <c r="E157" s="33"/>
    </row>
    <row r="158" spans="1:5" ht="12.75">
      <c r="A158" s="33"/>
      <c r="D158" s="33"/>
      <c r="E158" s="33"/>
    </row>
    <row r="159" spans="1:5" ht="12.75">
      <c r="A159" s="33"/>
      <c r="D159" s="33"/>
      <c r="E159" s="33"/>
    </row>
    <row r="160" spans="1:5" ht="12.75">
      <c r="A160" s="33"/>
      <c r="D160" s="33"/>
      <c r="E160" s="33"/>
    </row>
    <row r="161" spans="1:5" ht="12.75">
      <c r="A161" s="33"/>
      <c r="D161" s="33"/>
      <c r="E161" s="33"/>
    </row>
    <row r="162" spans="1:5" ht="12.75">
      <c r="A162" s="33"/>
      <c r="D162" s="33"/>
      <c r="E162" s="33"/>
    </row>
    <row r="163" spans="1:5" ht="12.75">
      <c r="A163" s="33"/>
      <c r="D163" s="33"/>
      <c r="E163" s="33"/>
    </row>
    <row r="164" spans="1:5" ht="12.75">
      <c r="A164" s="33"/>
      <c r="D164" s="33"/>
      <c r="E164" s="33"/>
    </row>
    <row r="165" spans="1:5" ht="12.75">
      <c r="A165" s="33"/>
      <c r="D165" s="33"/>
      <c r="E165" s="33"/>
    </row>
    <row r="166" spans="1:5" ht="12.75">
      <c r="A166" s="33"/>
      <c r="D166" s="33"/>
      <c r="E166" s="33"/>
    </row>
    <row r="167" spans="1:5" ht="12.75">
      <c r="A167" s="33"/>
      <c r="D167" s="33"/>
      <c r="E167" s="33"/>
    </row>
    <row r="168" spans="1:5" ht="12.75">
      <c r="A168" s="33"/>
      <c r="D168" s="33"/>
      <c r="E168" s="33"/>
    </row>
    <row r="169" spans="1:5" ht="12.75">
      <c r="A169" s="33"/>
      <c r="D169" s="33"/>
      <c r="E169" s="33"/>
    </row>
    <row r="170" spans="1:5" ht="12.75">
      <c r="A170" s="33"/>
      <c r="D170" s="33"/>
      <c r="E170" s="33"/>
    </row>
    <row r="171" spans="1:5" ht="12.75">
      <c r="A171" s="33"/>
      <c r="D171" s="33"/>
      <c r="E171" s="33"/>
    </row>
    <row r="172" spans="1:5" ht="12.75">
      <c r="A172" s="33"/>
      <c r="D172" s="33"/>
      <c r="E172" s="33"/>
    </row>
    <row r="173" spans="1:5" ht="12.75">
      <c r="A173" s="33"/>
      <c r="D173" s="33"/>
      <c r="E173" s="33"/>
    </row>
    <row r="174" spans="1:5" ht="12.75">
      <c r="A174" s="33"/>
      <c r="D174" s="33"/>
      <c r="E174" s="33"/>
    </row>
    <row r="175" spans="1:5" ht="12.75">
      <c r="A175" s="33"/>
      <c r="D175" s="33"/>
      <c r="E175" s="33"/>
    </row>
    <row r="176" spans="1:5" ht="12.75">
      <c r="A176" s="33"/>
      <c r="D176" s="33"/>
      <c r="E176" s="33"/>
    </row>
    <row r="177" spans="1:5" ht="12.75">
      <c r="A177" s="33"/>
      <c r="D177" s="33"/>
      <c r="E177" s="33"/>
    </row>
    <row r="178" spans="1:5" ht="12.75">
      <c r="A178" s="33"/>
      <c r="D178" s="33"/>
      <c r="E178" s="33"/>
    </row>
    <row r="179" spans="1:5" ht="12.75">
      <c r="A179" s="33"/>
      <c r="D179" s="33"/>
      <c r="E179" s="33"/>
    </row>
    <row r="180" spans="1:5" ht="12.75">
      <c r="A180" s="33"/>
      <c r="D180" s="33"/>
      <c r="E180" s="33"/>
    </row>
    <row r="181" spans="1:5" ht="12.75">
      <c r="A181" s="33"/>
      <c r="D181" s="33"/>
      <c r="E181" s="33"/>
    </row>
    <row r="182" spans="1:5" ht="12.75">
      <c r="A182" s="33"/>
      <c r="D182" s="33"/>
      <c r="E182" s="33"/>
    </row>
    <row r="183" spans="1:5" ht="12.75">
      <c r="A183" s="33"/>
      <c r="D183" s="33"/>
      <c r="E183" s="33"/>
    </row>
    <row r="184" spans="1:5" ht="12.75">
      <c r="A184" s="33"/>
      <c r="D184" s="33"/>
      <c r="E184" s="33"/>
    </row>
    <row r="185" spans="1:5" ht="12.75">
      <c r="A185" s="33"/>
      <c r="D185" s="33"/>
      <c r="E185" s="33"/>
    </row>
    <row r="186" spans="1:5" ht="12.75">
      <c r="A186" s="33"/>
      <c r="D186" s="33"/>
      <c r="E186" s="33"/>
    </row>
    <row r="187" spans="1:5" ht="12.75">
      <c r="A187" s="33"/>
      <c r="D187" s="33"/>
      <c r="E187" s="33"/>
    </row>
    <row r="188" spans="1:5" ht="12.75">
      <c r="A188" s="33"/>
      <c r="D188" s="33"/>
      <c r="E188" s="33"/>
    </row>
    <row r="189" spans="1:5" ht="12.75">
      <c r="A189" s="33"/>
      <c r="D189" s="33"/>
      <c r="E189" s="33"/>
    </row>
    <row r="190" spans="1:5" ht="12.75">
      <c r="A190" s="33"/>
      <c r="D190" s="33"/>
      <c r="E190" s="33"/>
    </row>
    <row r="191" spans="1:5" ht="12.75">
      <c r="A191" s="33"/>
      <c r="D191" s="33"/>
      <c r="E191" s="33"/>
    </row>
    <row r="192" spans="1:5" ht="12.75">
      <c r="A192" s="33"/>
      <c r="D192" s="33"/>
      <c r="E192" s="33"/>
    </row>
    <row r="193" spans="1:5" ht="12.75">
      <c r="A193" s="33"/>
      <c r="D193" s="33"/>
      <c r="E193" s="33"/>
    </row>
    <row r="194" spans="1:5" ht="12.75">
      <c r="A194" s="33"/>
      <c r="D194" s="33"/>
      <c r="E194" s="33"/>
    </row>
    <row r="195" spans="1:5" ht="12.75">
      <c r="A195" s="33"/>
      <c r="D195" s="33"/>
      <c r="E195" s="33"/>
    </row>
    <row r="196" spans="1:5" ht="12.75">
      <c r="A196" s="33"/>
      <c r="D196" s="33"/>
      <c r="E196" s="33"/>
    </row>
    <row r="197" spans="1:5" ht="12.75">
      <c r="A197" s="33"/>
      <c r="D197" s="33"/>
      <c r="E197" s="33"/>
    </row>
    <row r="198" spans="1:5" ht="12.75">
      <c r="A198" s="33"/>
      <c r="D198" s="33"/>
      <c r="E198" s="33"/>
    </row>
    <row r="199" spans="1:5" ht="12.75">
      <c r="A199" s="33"/>
      <c r="D199" s="33"/>
      <c r="E199" s="33"/>
    </row>
    <row r="200" spans="1:5" ht="12.75">
      <c r="A200" s="33"/>
      <c r="D200" s="33"/>
      <c r="E200" s="33"/>
    </row>
    <row r="201" spans="1:5" ht="12.75">
      <c r="A201" s="33"/>
      <c r="D201" s="33"/>
      <c r="E201" s="33"/>
    </row>
    <row r="202" spans="1:5" ht="12.75">
      <c r="A202" s="33"/>
      <c r="D202" s="33"/>
      <c r="E202" s="33"/>
    </row>
    <row r="203" spans="1:5" ht="12.75">
      <c r="A203" s="33"/>
      <c r="D203" s="33"/>
      <c r="E203" s="33"/>
    </row>
    <row r="204" spans="1:5" ht="12.75">
      <c r="A204" s="33"/>
      <c r="D204" s="33"/>
      <c r="E204" s="33"/>
    </row>
    <row r="205" spans="1:5" ht="12.75">
      <c r="A205" s="33"/>
      <c r="D205" s="33"/>
      <c r="E205" s="33"/>
    </row>
    <row r="206" spans="1:5" ht="12.75">
      <c r="A206" s="33"/>
      <c r="D206" s="33"/>
      <c r="E206" s="33"/>
    </row>
    <row r="207" spans="1:5" ht="12.75">
      <c r="A207" s="33"/>
      <c r="D207" s="33"/>
      <c r="E207" s="33"/>
    </row>
    <row r="208" spans="1:5" ht="12.75">
      <c r="A208" s="33"/>
      <c r="D208" s="33"/>
      <c r="E208" s="33"/>
    </row>
    <row r="209" spans="1:5" ht="12.75">
      <c r="A209" s="33"/>
      <c r="D209" s="33"/>
      <c r="E209" s="33"/>
    </row>
    <row r="210" spans="1:5" ht="12.75">
      <c r="A210" s="33"/>
      <c r="D210" s="33"/>
      <c r="E210" s="33"/>
    </row>
    <row r="211" spans="1:5" ht="12.75">
      <c r="A211" s="33"/>
      <c r="D211" s="33"/>
      <c r="E211" s="33"/>
    </row>
    <row r="212" spans="1:5" ht="12.75">
      <c r="A212" s="33"/>
      <c r="D212" s="33"/>
      <c r="E212" s="33"/>
    </row>
    <row r="213" spans="1:5" ht="12.75">
      <c r="A213" s="33"/>
      <c r="D213" s="33"/>
      <c r="E213" s="33"/>
    </row>
    <row r="214" spans="1:5" ht="12.75">
      <c r="A214" s="33"/>
      <c r="D214" s="33"/>
      <c r="E214" s="33"/>
    </row>
    <row r="215" spans="1:5" ht="12.75">
      <c r="A215" s="33"/>
      <c r="D215" s="33"/>
      <c r="E215" s="33"/>
    </row>
    <row r="216" spans="1:5" ht="12.75">
      <c r="A216" s="33"/>
      <c r="D216" s="33"/>
      <c r="E216" s="33"/>
    </row>
    <row r="217" spans="1:5" ht="12.75">
      <c r="A217" s="33"/>
      <c r="D217" s="33"/>
      <c r="E217" s="33"/>
    </row>
    <row r="218" spans="1:5" ht="12.75">
      <c r="A218" s="33"/>
      <c r="D218" s="33"/>
      <c r="E218" s="33"/>
    </row>
    <row r="219" spans="1:5" ht="12.75">
      <c r="A219" s="33"/>
      <c r="D219" s="33"/>
      <c r="E219" s="33"/>
    </row>
    <row r="220" spans="1:5" ht="12.75">
      <c r="A220" s="33"/>
      <c r="D220" s="33"/>
      <c r="E220" s="33"/>
    </row>
    <row r="221" spans="1:5" ht="12.75">
      <c r="A221" s="33"/>
      <c r="D221" s="33"/>
      <c r="E221" s="33"/>
    </row>
    <row r="222" spans="1:5" ht="12.75">
      <c r="A222" s="33"/>
      <c r="D222" s="33"/>
      <c r="E222" s="33"/>
    </row>
    <row r="223" spans="1:5" ht="12.75">
      <c r="A223" s="33"/>
      <c r="D223" s="33"/>
      <c r="E223" s="33"/>
    </row>
    <row r="224" spans="1:5" ht="12.75">
      <c r="A224" s="33"/>
      <c r="D224" s="33"/>
      <c r="E224" s="33"/>
    </row>
    <row r="225" spans="1:5" ht="12.75">
      <c r="A225" s="33"/>
      <c r="D225" s="33"/>
      <c r="E225" s="33"/>
    </row>
    <row r="226" spans="1:5" ht="12.75">
      <c r="A226" s="33"/>
      <c r="D226" s="33"/>
      <c r="E226" s="33"/>
    </row>
    <row r="227" spans="1:5" ht="12.75">
      <c r="A227" s="33"/>
      <c r="D227" s="33"/>
      <c r="E227" s="33"/>
    </row>
    <row r="228" spans="1:5" ht="12.75">
      <c r="A228" s="33"/>
      <c r="D228" s="33"/>
      <c r="E228" s="33"/>
    </row>
    <row r="229" spans="1:5" ht="12.75">
      <c r="A229" s="33"/>
      <c r="D229" s="33"/>
      <c r="E229" s="33"/>
    </row>
    <row r="230" spans="1:5" ht="12.75">
      <c r="A230" s="33"/>
      <c r="D230" s="33"/>
      <c r="E230" s="33"/>
    </row>
    <row r="231" spans="1:5" ht="12.75">
      <c r="A231" s="33"/>
      <c r="D231" s="33"/>
      <c r="E231" s="33"/>
    </row>
    <row r="232" spans="1:5" ht="12.75">
      <c r="A232" s="33"/>
      <c r="D232" s="33"/>
      <c r="E232" s="33"/>
    </row>
    <row r="233" spans="1:5" ht="12.75">
      <c r="A233" s="33"/>
      <c r="D233" s="33"/>
      <c r="E233" s="33"/>
    </row>
    <row r="234" spans="1:5" ht="12.75">
      <c r="A234" s="33"/>
      <c r="D234" s="33"/>
      <c r="E234" s="33"/>
    </row>
    <row r="235" spans="1:5" ht="12.75">
      <c r="A235" s="33"/>
      <c r="D235" s="33"/>
      <c r="E235" s="33"/>
    </row>
    <row r="236" spans="1:5" ht="12.75">
      <c r="A236" s="33"/>
      <c r="D236" s="33"/>
      <c r="E236" s="33"/>
    </row>
    <row r="237" spans="1:5" ht="12.75">
      <c r="A237" s="33"/>
      <c r="D237" s="33"/>
      <c r="E237" s="33"/>
    </row>
    <row r="238" spans="1:5" ht="12.75">
      <c r="A238" s="33"/>
      <c r="D238" s="33"/>
      <c r="E238" s="33"/>
    </row>
  </sheetData>
  <sheetProtection sheet="1" objects="1" scenarios="1" selectLockedCells="1"/>
  <mergeCells count="88">
    <mergeCell ref="AF24:AF25"/>
    <mergeCell ref="AF28:AF29"/>
    <mergeCell ref="AF32:AF33"/>
    <mergeCell ref="AF36:AF37"/>
    <mergeCell ref="A39:B39"/>
    <mergeCell ref="D39:E39"/>
    <mergeCell ref="A33:G33"/>
    <mergeCell ref="AE26:AE27"/>
    <mergeCell ref="AC24:AC25"/>
    <mergeCell ref="AC26:AC27"/>
    <mergeCell ref="B1:F1"/>
    <mergeCell ref="B2:F2"/>
    <mergeCell ref="B3:F3"/>
    <mergeCell ref="D4:F4"/>
    <mergeCell ref="A7:G7"/>
    <mergeCell ref="A24:G24"/>
    <mergeCell ref="G4:H4"/>
    <mergeCell ref="AE8:AE9"/>
    <mergeCell ref="AF8:AF9"/>
    <mergeCell ref="AA10:AA11"/>
    <mergeCell ref="AB10:AB11"/>
    <mergeCell ref="AA8:AA9"/>
    <mergeCell ref="AB8:AB9"/>
    <mergeCell ref="AD8:AD9"/>
    <mergeCell ref="AC8:AC9"/>
    <mergeCell ref="AE20:AE21"/>
    <mergeCell ref="AA18:AA19"/>
    <mergeCell ref="AB18:AB19"/>
    <mergeCell ref="AE18:AE19"/>
    <mergeCell ref="AA16:AA17"/>
    <mergeCell ref="AB16:AB17"/>
    <mergeCell ref="AC16:AC17"/>
    <mergeCell ref="AD16:AD17"/>
    <mergeCell ref="AF20:AF21"/>
    <mergeCell ref="AE16:AE17"/>
    <mergeCell ref="AF16:AF17"/>
    <mergeCell ref="AE12:AE13"/>
    <mergeCell ref="AF12:AF13"/>
    <mergeCell ref="AA22:AA23"/>
    <mergeCell ref="AB22:AB23"/>
    <mergeCell ref="AE22:AE23"/>
    <mergeCell ref="AA20:AA21"/>
    <mergeCell ref="AB20:AB21"/>
    <mergeCell ref="AD26:AD27"/>
    <mergeCell ref="AD24:AD25"/>
    <mergeCell ref="AE24:AE25"/>
    <mergeCell ref="AA24:AA25"/>
    <mergeCell ref="AB24:AB25"/>
    <mergeCell ref="AA26:AA27"/>
    <mergeCell ref="AB26:AB27"/>
    <mergeCell ref="AC12:AC13"/>
    <mergeCell ref="AD12:AD13"/>
    <mergeCell ref="AC20:AC21"/>
    <mergeCell ref="AD20:AD21"/>
    <mergeCell ref="AA14:AA15"/>
    <mergeCell ref="AB14:AB15"/>
    <mergeCell ref="AA12:AA13"/>
    <mergeCell ref="AB12:AB13"/>
    <mergeCell ref="AE28:AE29"/>
    <mergeCell ref="AA30:AA31"/>
    <mergeCell ref="AB30:AB31"/>
    <mergeCell ref="AC30:AC31"/>
    <mergeCell ref="AD30:AD31"/>
    <mergeCell ref="AE30:AE31"/>
    <mergeCell ref="AA28:AA29"/>
    <mergeCell ref="AB28:AB29"/>
    <mergeCell ref="AC28:AC29"/>
    <mergeCell ref="AD28:AD29"/>
    <mergeCell ref="AE32:AE33"/>
    <mergeCell ref="AA34:AA35"/>
    <mergeCell ref="AB34:AB35"/>
    <mergeCell ref="AC34:AC35"/>
    <mergeCell ref="AD34:AD35"/>
    <mergeCell ref="AE34:AE35"/>
    <mergeCell ref="AA32:AA33"/>
    <mergeCell ref="AB32:AB33"/>
    <mergeCell ref="AC32:AC33"/>
    <mergeCell ref="AD32:AD33"/>
    <mergeCell ref="AE36:AE37"/>
    <mergeCell ref="AA38:AA39"/>
    <mergeCell ref="AB38:AB39"/>
    <mergeCell ref="AC38:AC39"/>
    <mergeCell ref="AD38:AD39"/>
    <mergeCell ref="AE38:AE39"/>
    <mergeCell ref="AA36:AA37"/>
    <mergeCell ref="AB36:AB37"/>
    <mergeCell ref="AC36:AC37"/>
    <mergeCell ref="AD36:AD37"/>
  </mergeCells>
  <conditionalFormatting sqref="A25:G32">
    <cfRule type="expression" priority="1" dxfId="7" stopIfTrue="1">
      <formula>$E$51=TRUE</formula>
    </cfRule>
    <cfRule type="expression" priority="2" dxfId="8" stopIfTrue="1">
      <formula>OR($G25="х",$G25="Х",$G25="x",$G25="X")</formula>
    </cfRule>
  </conditionalFormatting>
  <conditionalFormatting sqref="A34:G37">
    <cfRule type="expression" priority="3" dxfId="7" stopIfTrue="1">
      <formula>$E$52=TRUE</formula>
    </cfRule>
    <cfRule type="expression" priority="4" dxfId="8" stopIfTrue="1">
      <formula>OR($G34="х",$G34="Х",$G34="x",$G34="X")</formula>
    </cfRule>
  </conditionalFormatting>
  <conditionalFormatting sqref="B8:G23">
    <cfRule type="expression" priority="5" dxfId="7" stopIfTrue="1">
      <formula>$E$50=TRUE</formula>
    </cfRule>
  </conditionalFormatting>
  <printOptions horizontalCentered="1"/>
  <pageMargins left="0.29" right="0.24" top="0.25" bottom="0.26" header="0.25" footer="0.26"/>
  <pageSetup fitToHeight="1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О.И.</dc:creator>
  <cp:keywords/>
  <dc:description/>
  <cp:lastModifiedBy>Эдуард</cp:lastModifiedBy>
  <cp:lastPrinted>2014-06-07T10:04:33Z</cp:lastPrinted>
  <dcterms:created xsi:type="dcterms:W3CDTF">2005-01-20T08:43:05Z</dcterms:created>
  <dcterms:modified xsi:type="dcterms:W3CDTF">2014-06-07T11:12:33Z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